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peeassa teht" sheetId="1" r:id="rId1"/>
    <sheet name="peeassa" sheetId="2" r:id="rId2"/>
    <sheet name="Tuotelas" sheetId="3" r:id="rId3"/>
    <sheet name="Yhtveto" sheetId="4" r:id="rId4"/>
    <sheet name="rahoitus ja investoinnit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<sst xmlns="http://schemas.openxmlformats.org/spreadsheetml/2006/main" count="205" uniqueCount="120">
  <si>
    <t xml:space="preserve">Tuloslaskelman rakentaminen  </t>
  </si>
  <si>
    <t>Ulosmyynti 6,00 € (verollinen), ainekulut 1,80 € ( veroton) 6500 kpl</t>
  </si>
  <si>
    <t>Ulosmyynti</t>
  </si>
  <si>
    <t>Tarjoilu</t>
  </si>
  <si>
    <t xml:space="preserve"> - alv</t>
  </si>
  <si>
    <t>Liikevaihto</t>
  </si>
  <si>
    <t>%</t>
  </si>
  <si>
    <t xml:space="preserve"> - mukut</t>
  </si>
  <si>
    <t>Myyntikate</t>
  </si>
  <si>
    <t xml:space="preserve"> - hlöstökulut</t>
  </si>
  <si>
    <t>Palkkakate</t>
  </si>
  <si>
    <t>b) Laske tunnusluvut:</t>
  </si>
  <si>
    <t>Krittinen liikevaihto (KRP) = kikut x 100 / MK%</t>
  </si>
  <si>
    <t>KRP</t>
  </si>
  <si>
    <t>e</t>
  </si>
  <si>
    <t>Varmuusmarginaali ( VM ) = Lv - Krp</t>
  </si>
  <si>
    <t>VM</t>
  </si>
  <si>
    <t>Varmuusmarginaali % =   VM / LV * 100</t>
  </si>
  <si>
    <t>Myyntituotot</t>
  </si>
  <si>
    <t>Yht</t>
  </si>
  <si>
    <t xml:space="preserve">  - Markkinointi</t>
  </si>
  <si>
    <t xml:space="preserve">  - Hallinto</t>
  </si>
  <si>
    <t xml:space="preserve">  - Kalusto</t>
  </si>
  <si>
    <t>Toiminta kate</t>
  </si>
  <si>
    <t>Kiinteistökulut</t>
  </si>
  <si>
    <t>Hoitovuokra</t>
  </si>
  <si>
    <t>Myyntihinta</t>
  </si>
  <si>
    <t>Myyntimääärä</t>
  </si>
  <si>
    <t>Tarjoilu 7,38 € veroton, ainekulut 2,30 ( verollinen 22%) 15 000 kpl</t>
  </si>
  <si>
    <t>€</t>
  </si>
  <si>
    <t>kpl</t>
  </si>
  <si>
    <t>Ainekulut</t>
  </si>
  <si>
    <t>a) Tee yritykselle tuloslaskelma 1. vuodelle' seuraavien tietojen perusteella:</t>
  </si>
  <si>
    <t>Määritä henkilömäärä: Kuukausipalkka 2000 e/kk (lisää sotu 60%)</t>
  </si>
  <si>
    <t>Käyttökate</t>
  </si>
  <si>
    <t>TUOTELASKELMA</t>
  </si>
  <si>
    <t>Ver 3 / 2005</t>
  </si>
  <si>
    <t>Yritys:</t>
  </si>
  <si>
    <t>Tuoteryhmä</t>
  </si>
  <si>
    <t>Alv</t>
  </si>
  <si>
    <t>Veroton</t>
  </si>
  <si>
    <t>Myynti-</t>
  </si>
  <si>
    <t>Kate%</t>
  </si>
  <si>
    <t>vroton</t>
  </si>
  <si>
    <t>vrottomasta</t>
  </si>
  <si>
    <t>määrä/v</t>
  </si>
  <si>
    <t>yht</t>
  </si>
  <si>
    <t>Yht/ ka</t>
  </si>
  <si>
    <t>Kannattavuuslaskelma</t>
  </si>
  <si>
    <t>ajalle:</t>
  </si>
  <si>
    <t xml:space="preserve">  -Alv</t>
  </si>
  <si>
    <t>Henkilöstökulut:</t>
  </si>
  <si>
    <t xml:space="preserve">  - Muuttuvat kulut</t>
  </si>
  <si>
    <t>Vakituiset</t>
  </si>
  <si>
    <t>Sivutoim.</t>
  </si>
  <si>
    <t xml:space="preserve"> - Henkilöstökulut</t>
  </si>
  <si>
    <t>Keskim kk. palkka:</t>
  </si>
  <si>
    <t xml:space="preserve"> -Kiinteät kulut yhteensä</t>
  </si>
  <si>
    <t>Vuokrat</t>
  </si>
  <si>
    <t>Vakuutukset</t>
  </si>
  <si>
    <t>Työskentely kk:</t>
  </si>
  <si>
    <t>Energia</t>
  </si>
  <si>
    <t>Markkinointi</t>
  </si>
  <si>
    <t>Hallinto</t>
  </si>
  <si>
    <t>Palkan sivukulut%:</t>
  </si>
  <si>
    <t>Sekalaiset</t>
  </si>
  <si>
    <t xml:space="preserve"> -  poistot</t>
  </si>
  <si>
    <t xml:space="preserve"> - rahoitus kulut</t>
  </si>
  <si>
    <t>Tulos</t>
  </si>
  <si>
    <t>Yhteenveto</t>
  </si>
  <si>
    <t>x-aks</t>
  </si>
  <si>
    <t>Mukut</t>
  </si>
  <si>
    <t>Kiint.kulut</t>
  </si>
  <si>
    <t>Kokonaisk.</t>
  </si>
  <si>
    <t>Muuttuvat kulut</t>
  </si>
  <si>
    <t>Henkilöstökulut</t>
  </si>
  <si>
    <t>Kiinteät kulut</t>
  </si>
  <si>
    <t>Kriittinen liikevaihto</t>
  </si>
  <si>
    <t>Varmuusmarginaali</t>
  </si>
  <si>
    <t>Varmuusmarginaali%</t>
  </si>
  <si>
    <t>Kannattavuus</t>
  </si>
  <si>
    <t>Rahoitus</t>
  </si>
  <si>
    <t>Lainalaskelmat</t>
  </si>
  <si>
    <t>Kannattavuus/tuloslaskelma</t>
  </si>
  <si>
    <t>Rahan käyttö</t>
  </si>
  <si>
    <t xml:space="preserve"> = toiminnan (myynnin kannattavuus)</t>
  </si>
  <si>
    <t>Investoinnit</t>
  </si>
  <si>
    <t>poisto%</t>
  </si>
  <si>
    <t>poisto e</t>
  </si>
  <si>
    <t>Koneet ja laitteet</t>
  </si>
  <si>
    <t>Kiinteistö</t>
  </si>
  <si>
    <t>Käyttöpääoma</t>
  </si>
  <si>
    <t xml:space="preserve">  - kikut</t>
  </si>
  <si>
    <t>pohjakassa</t>
  </si>
  <si>
    <t>alkuvarasto</t>
  </si>
  <si>
    <t xml:space="preserve"> - sumu poisto</t>
  </si>
  <si>
    <t>Lainanlyhennykset</t>
  </si>
  <si>
    <t>Liiketulos</t>
  </si>
  <si>
    <t>pankkilaina lyh.</t>
  </si>
  <si>
    <t>Korkokulut</t>
  </si>
  <si>
    <t>Rahan tarve yht</t>
  </si>
  <si>
    <t>Välittömät verot  26%</t>
  </si>
  <si>
    <t>Nettotulos</t>
  </si>
  <si>
    <t>Rahan lähteet</t>
  </si>
  <si>
    <t>korko 7%</t>
  </si>
  <si>
    <t>lyhennys</t>
  </si>
  <si>
    <t>Oma sijoitus</t>
  </si>
  <si>
    <t xml:space="preserve">  10 v</t>
  </si>
  <si>
    <t>Pankkilaina</t>
  </si>
  <si>
    <t>Rahoitustulos</t>
  </si>
  <si>
    <t xml:space="preserve">  nettotulos+poistot=  </t>
  </si>
  <si>
    <t>Rahan lähteet yht</t>
  </si>
  <si>
    <t>Yli/alijäämä</t>
  </si>
  <si>
    <t>Aukiolopäivät/v:</t>
  </si>
  <si>
    <t>Kate</t>
  </si>
  <si>
    <t>hinta</t>
  </si>
  <si>
    <t>määrä/pv</t>
  </si>
  <si>
    <t>Ruoka</t>
  </si>
  <si>
    <t>Juoma</t>
  </si>
  <si>
    <t>Majoitus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</si>
</sst>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"/>
    <numFmt numFmtId="167" formatCode="0.000"/>
    <numFmt numFmtId="168" formatCode="0%"/>
  </numFmts>
  <fonts count="91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48"/>
      <name val="Times New Roman"/>
      <family val="1"/>
    </font>
    <font>
      <sz val="14"/>
      <color indexed="23"/>
      <name val="Times New Roman"/>
      <family val="1"/>
    </font>
    <font>
      <sz val="16"/>
      <color indexed="23"/>
      <name val="Times New Roman"/>
      <family val="1"/>
    </font>
    <font>
      <b/>
      <sz val="14"/>
      <color indexed="23"/>
      <name val="Times New Roman"/>
      <family val="1"/>
    </font>
    <font>
      <sz val="14"/>
      <name val="Times New Roman"/>
      <family val="1"/>
    </font>
    <font>
      <u val="single"/>
      <sz val="16"/>
      <color indexed="62"/>
      <name val="Times New Roman"/>
      <family val="1"/>
    </font>
    <font>
      <b/>
      <sz val="14"/>
      <name val="Arial Narrow"/>
      <family val="2"/>
    </font>
    <font>
      <sz val="14"/>
      <name val="Arial Narrow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Arial Narrow"/>
      <family val="2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8"/>
      <name val="Arial Narrow"/>
      <family val="2"/>
    </font>
    <font>
      <sz val="10"/>
      <color indexed="9"/>
      <name val="Times New Roman"/>
      <family val="1"/>
    </font>
    <font>
      <b/>
      <i/>
      <sz val="14"/>
      <name val="Times New Roman"/>
      <family val="1"/>
    </font>
    <font>
      <sz val="8"/>
      <color indexed="9"/>
      <name val="Times New Roman"/>
      <family val="1"/>
    </font>
    <font>
      <b/>
      <sz val="10"/>
      <name val="MS Sans Serif"/>
      <family val="2"/>
    </font>
    <font>
      <sz val="8"/>
      <name val="MS Sans Serif"/>
      <family val="2"/>
    </font>
    <font>
      <i/>
      <sz val="10"/>
      <name val="Monotype Corsiva"/>
      <family val="4"/>
    </font>
    <font>
      <b/>
      <sz val="2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8"/>
      <color indexed="9"/>
      <name val="Arial Narrow"/>
      <family val="2"/>
    </font>
    <font>
      <sz val="7"/>
      <color indexed="9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sz val="12"/>
      <color indexed="17"/>
      <name val="Calibri"/>
      <family val="2"/>
    </font>
    <font>
      <sz val="14"/>
      <color indexed="10"/>
      <name val="Calibri"/>
      <family val="2"/>
    </font>
    <font>
      <sz val="12"/>
      <color indexed="60"/>
      <name val="Calibri"/>
      <family val="2"/>
    </font>
    <font>
      <sz val="14"/>
      <color indexed="60"/>
      <name val="Calibri"/>
      <family val="2"/>
    </font>
    <font>
      <b/>
      <sz val="16"/>
      <color indexed="12"/>
      <name val="Calibri"/>
      <family val="2"/>
    </font>
    <font>
      <sz val="8"/>
      <name val="Arial"/>
      <family val="2"/>
    </font>
    <font>
      <sz val="4.5"/>
      <color indexed="8"/>
      <name val="Arial"/>
      <family val="2"/>
    </font>
    <font>
      <sz val="11"/>
      <color indexed="8"/>
      <name val="Arial"/>
      <family val="2"/>
    </font>
    <font>
      <sz val="10.1"/>
      <color indexed="8"/>
      <name val="Arial"/>
      <family val="2"/>
    </font>
    <font>
      <sz val="8.75"/>
      <color indexed="8"/>
      <name val="Arial"/>
      <family val="2"/>
    </font>
    <font>
      <b/>
      <sz val="8.5"/>
      <color indexed="8"/>
      <name val="Arial"/>
      <family val="2"/>
    </font>
    <font>
      <b/>
      <sz val="9.75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3333FF"/>
      <name val="Times New Roman"/>
      <family val="1"/>
    </font>
    <font>
      <sz val="14"/>
      <color theme="0" tint="-0.4999699890613556"/>
      <name val="Times New Roman"/>
      <family val="1"/>
    </font>
    <font>
      <sz val="16"/>
      <color theme="0" tint="-0.4999699890613556"/>
      <name val="Times New Roman"/>
      <family val="1"/>
    </font>
    <font>
      <b/>
      <sz val="14"/>
      <color theme="0" tint="-0.4999699890613556"/>
      <name val="Times New Roman"/>
      <family val="1"/>
    </font>
    <font>
      <u val="single"/>
      <sz val="16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/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3" fillId="0" borderId="0">
      <alignment/>
      <protection/>
    </xf>
    <xf numFmtId="0" fontId="6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32" borderId="7" applyNumberFormat="0" applyFont="0" applyAlignment="0" applyProtection="0"/>
    <xf numFmtId="0" fontId="61" fillId="0" borderId="8">
      <alignment/>
      <protection/>
    </xf>
    <xf numFmtId="0" fontId="82" fillId="27" borderId="9" applyNumberFormat="0" applyAlignment="0" applyProtection="0"/>
    <xf numFmtId="9" fontId="69" fillId="0" borderId="0" applyFont="0" applyFill="0" applyBorder="0" applyAlignment="0" applyProtection="0"/>
    <xf numFmtId="0" fontId="61" fillId="33" borderId="8" applyProtection="0">
      <alignment/>
    </xf>
    <xf numFmtId="0" fontId="83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85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3" fontId="86" fillId="0" borderId="0" xfId="0" applyNumberFormat="1" applyFont="1" applyBorder="1" applyAlignment="1">
      <alignment/>
    </xf>
    <xf numFmtId="3" fontId="86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8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0" fontId="87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87" fillId="0" borderId="11" xfId="0" applyFont="1" applyBorder="1" applyAlignment="1">
      <alignment/>
    </xf>
    <xf numFmtId="0" fontId="88" fillId="0" borderId="11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64" fontId="87" fillId="0" borderId="0" xfId="0" applyNumberFormat="1" applyFont="1" applyAlignment="1">
      <alignment/>
    </xf>
    <xf numFmtId="164" fontId="89" fillId="0" borderId="11" xfId="0" applyNumberFormat="1" applyFont="1" applyBorder="1" applyAlignment="1">
      <alignment/>
    </xf>
    <xf numFmtId="164" fontId="87" fillId="0" borderId="11" xfId="0" applyNumberFormat="1" applyFont="1" applyBorder="1" applyAlignment="1">
      <alignment/>
    </xf>
    <xf numFmtId="3" fontId="87" fillId="0" borderId="0" xfId="0" applyNumberFormat="1" applyFont="1" applyBorder="1" applyAlignment="1">
      <alignment/>
    </xf>
    <xf numFmtId="3" fontId="87" fillId="0" borderId="11" xfId="0" applyNumberFormat="1" applyFont="1" applyBorder="1" applyAlignment="1">
      <alignment/>
    </xf>
    <xf numFmtId="3" fontId="87" fillId="0" borderId="0" xfId="0" applyNumberFormat="1" applyFont="1" applyAlignment="1">
      <alignment/>
    </xf>
    <xf numFmtId="4" fontId="87" fillId="0" borderId="11" xfId="0" applyNumberFormat="1" applyFont="1" applyBorder="1" applyAlignment="1">
      <alignment/>
    </xf>
    <xf numFmtId="4" fontId="87" fillId="0" borderId="0" xfId="0" applyNumberFormat="1" applyFont="1" applyAlignment="1">
      <alignment/>
    </xf>
    <xf numFmtId="4" fontId="87" fillId="0" borderId="0" xfId="0" applyNumberFormat="1" applyFont="1" applyBorder="1" applyAlignment="1">
      <alignment/>
    </xf>
    <xf numFmtId="165" fontId="89" fillId="0" borderId="11" xfId="0" applyNumberFormat="1" applyFont="1" applyBorder="1" applyAlignment="1">
      <alignment/>
    </xf>
    <xf numFmtId="165" fontId="87" fillId="0" borderId="0" xfId="0" applyNumberFormat="1" applyFont="1" applyAlignment="1">
      <alignment/>
    </xf>
    <xf numFmtId="165" fontId="87" fillId="0" borderId="11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88" fillId="0" borderId="11" xfId="0" applyNumberFormat="1" applyFont="1" applyBorder="1" applyAlignment="1">
      <alignment/>
    </xf>
    <xf numFmtId="0" fontId="86" fillId="0" borderId="11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90" fillId="0" borderId="0" xfId="0" applyNumberFormat="1" applyFont="1" applyBorder="1" applyAlignment="1">
      <alignment horizontal="right"/>
    </xf>
    <xf numFmtId="0" fontId="90" fillId="0" borderId="0" xfId="0" applyFont="1" applyBorder="1" applyAlignment="1">
      <alignment horizontal="right"/>
    </xf>
    <xf numFmtId="4" fontId="90" fillId="0" borderId="0" xfId="0" applyNumberFormat="1" applyFont="1" applyBorder="1" applyAlignment="1">
      <alignment horizontal="right"/>
    </xf>
    <xf numFmtId="0" fontId="29" fillId="0" borderId="12" xfId="0" applyFont="1" applyBorder="1" applyAlignment="1">
      <alignment/>
    </xf>
    <xf numFmtId="3" fontId="29" fillId="0" borderId="13" xfId="0" applyNumberFormat="1" applyFont="1" applyBorder="1" applyAlignment="1">
      <alignment/>
    </xf>
    <xf numFmtId="0" fontId="30" fillId="0" borderId="14" xfId="0" applyFont="1" applyBorder="1" applyAlignment="1">
      <alignment/>
    </xf>
    <xf numFmtId="0" fontId="29" fillId="0" borderId="15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30" fillId="0" borderId="16" xfId="0" applyFont="1" applyBorder="1" applyAlignment="1">
      <alignment/>
    </xf>
    <xf numFmtId="0" fontId="29" fillId="0" borderId="17" xfId="0" applyFont="1" applyBorder="1" applyAlignment="1">
      <alignment/>
    </xf>
    <xf numFmtId="165" fontId="29" fillId="0" borderId="11" xfId="0" applyNumberFormat="1" applyFont="1" applyBorder="1" applyAlignment="1">
      <alignment/>
    </xf>
    <xf numFmtId="0" fontId="30" fillId="0" borderId="18" xfId="0" applyFont="1" applyBorder="1" applyAlignment="1">
      <alignment/>
    </xf>
    <xf numFmtId="0" fontId="5" fillId="0" borderId="0" xfId="58" applyFont="1" applyProtection="1">
      <alignment/>
      <protection/>
    </xf>
    <xf numFmtId="0" fontId="0" fillId="0" borderId="0" xfId="58" applyFont="1" applyProtection="1">
      <alignment/>
      <protection/>
    </xf>
    <xf numFmtId="0" fontId="3" fillId="0" borderId="0" xfId="58" applyFont="1" applyProtection="1">
      <alignment/>
      <protection/>
    </xf>
    <xf numFmtId="0" fontId="3" fillId="0" borderId="0" xfId="58" applyProtection="1">
      <alignment/>
      <protection/>
    </xf>
    <xf numFmtId="0" fontId="0" fillId="0" borderId="0" xfId="58" applyFont="1" applyProtection="1">
      <alignment/>
      <protection locked="0"/>
    </xf>
    <xf numFmtId="0" fontId="3" fillId="0" borderId="0" xfId="58" applyFont="1" applyProtection="1">
      <alignment/>
      <protection locked="0"/>
    </xf>
    <xf numFmtId="0" fontId="31" fillId="0" borderId="0" xfId="58" applyFont="1" applyAlignment="1" applyProtection="1">
      <alignment horizontal="right"/>
      <protection locked="0"/>
    </xf>
    <xf numFmtId="0" fontId="0" fillId="0" borderId="11" xfId="58" applyFont="1" applyBorder="1" applyAlignment="1" applyProtection="1">
      <alignment/>
      <protection locked="0"/>
    </xf>
    <xf numFmtId="0" fontId="3" fillId="0" borderId="11" xfId="58" applyBorder="1" applyAlignment="1" applyProtection="1">
      <alignment/>
      <protection locked="0"/>
    </xf>
    <xf numFmtId="0" fontId="3" fillId="0" borderId="0" xfId="58" applyProtection="1">
      <alignment/>
      <protection locked="0"/>
    </xf>
    <xf numFmtId="0" fontId="32" fillId="0" borderId="0" xfId="58" applyFont="1" applyProtection="1">
      <alignment/>
      <protection/>
    </xf>
    <xf numFmtId="0" fontId="33" fillId="0" borderId="0" xfId="58" applyFont="1" applyAlignment="1" applyProtection="1">
      <alignment horizontal="right"/>
      <protection/>
    </xf>
    <xf numFmtId="0" fontId="0" fillId="0" borderId="19" xfId="58" applyFont="1" applyBorder="1" applyProtection="1">
      <alignment/>
      <protection locked="0"/>
    </xf>
    <xf numFmtId="0" fontId="0" fillId="0" borderId="20" xfId="58" applyFont="1" applyBorder="1" applyProtection="1">
      <alignment/>
      <protection locked="0"/>
    </xf>
    <xf numFmtId="0" fontId="0" fillId="0" borderId="0" xfId="58" applyFont="1" applyBorder="1" applyProtection="1">
      <alignment/>
      <protection/>
    </xf>
    <xf numFmtId="0" fontId="0" fillId="0" borderId="0" xfId="58" applyFont="1" applyBorder="1" applyAlignment="1" applyProtection="1">
      <alignment horizontal="center"/>
      <protection/>
    </xf>
    <xf numFmtId="0" fontId="0" fillId="0" borderId="0" xfId="58" applyFont="1" applyBorder="1" applyAlignment="1" applyProtection="1">
      <alignment horizontal="center"/>
      <protection locked="0"/>
    </xf>
    <xf numFmtId="0" fontId="0" fillId="0" borderId="0" xfId="58" applyFont="1" applyAlignment="1" applyProtection="1">
      <alignment horizontal="right"/>
      <protection locked="0"/>
    </xf>
    <xf numFmtId="0" fontId="31" fillId="0" borderId="11" xfId="58" applyFont="1" applyBorder="1" applyProtection="1">
      <alignment/>
      <protection locked="0"/>
    </xf>
    <xf numFmtId="0" fontId="31" fillId="0" borderId="0" xfId="58" applyFont="1" applyProtection="1">
      <alignment/>
      <protection locked="0"/>
    </xf>
    <xf numFmtId="0" fontId="0" fillId="0" borderId="0" xfId="58" applyFont="1" applyAlignment="1" applyProtection="1">
      <alignment horizontal="right"/>
      <protection/>
    </xf>
    <xf numFmtId="0" fontId="31" fillId="0" borderId="0" xfId="58" applyFont="1" applyProtection="1">
      <alignment/>
      <protection/>
    </xf>
    <xf numFmtId="0" fontId="37" fillId="0" borderId="0" xfId="58" applyFont="1" applyProtection="1">
      <alignment/>
      <protection/>
    </xf>
    <xf numFmtId="3" fontId="0" fillId="0" borderId="0" xfId="58" applyNumberFormat="1" applyFont="1" applyProtection="1">
      <alignment/>
      <protection/>
    </xf>
    <xf numFmtId="164" fontId="40" fillId="0" borderId="0" xfId="58" applyNumberFormat="1" applyFont="1" applyProtection="1">
      <alignment/>
      <protection/>
    </xf>
    <xf numFmtId="0" fontId="0" fillId="0" borderId="11" xfId="58" applyFont="1" applyBorder="1" applyProtection="1">
      <alignment/>
      <protection/>
    </xf>
    <xf numFmtId="3" fontId="0" fillId="0" borderId="11" xfId="58" applyNumberFormat="1" applyFont="1" applyBorder="1" applyProtection="1">
      <alignment/>
      <protection/>
    </xf>
    <xf numFmtId="164" fontId="40" fillId="0" borderId="11" xfId="58" applyNumberFormat="1" applyFont="1" applyBorder="1" applyProtection="1">
      <alignment/>
      <protection/>
    </xf>
    <xf numFmtId="0" fontId="41" fillId="0" borderId="0" xfId="58" applyFont="1" applyBorder="1" applyProtection="1">
      <alignment/>
      <protection/>
    </xf>
    <xf numFmtId="0" fontId="40" fillId="0" borderId="0" xfId="58" applyFont="1" applyProtection="1">
      <alignment/>
      <protection/>
    </xf>
    <xf numFmtId="0" fontId="40" fillId="0" borderId="11" xfId="58" applyFont="1" applyBorder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34" borderId="21" xfId="58" applyFont="1" applyFill="1" applyBorder="1" applyAlignment="1" applyProtection="1">
      <alignment horizontal="center"/>
      <protection locked="0"/>
    </xf>
    <xf numFmtId="9" fontId="42" fillId="0" borderId="0" xfId="58" applyNumberFormat="1" applyFont="1" applyProtection="1">
      <alignment/>
      <protection/>
    </xf>
    <xf numFmtId="0" fontId="34" fillId="0" borderId="0" xfId="58" applyFont="1" applyAlignment="1" applyProtection="1">
      <alignment horizontal="right"/>
      <protection locked="0"/>
    </xf>
    <xf numFmtId="3" fontId="37" fillId="34" borderId="22" xfId="58" applyNumberFormat="1" applyFont="1" applyFill="1" applyBorder="1" applyProtection="1">
      <alignment/>
      <protection locked="0"/>
    </xf>
    <xf numFmtId="3" fontId="37" fillId="34" borderId="23" xfId="58" applyNumberFormat="1" applyFont="1" applyFill="1" applyBorder="1" applyProtection="1">
      <alignment/>
      <protection locked="0"/>
    </xf>
    <xf numFmtId="0" fontId="34" fillId="0" borderId="0" xfId="58" applyFont="1" applyBorder="1" applyAlignment="1" applyProtection="1">
      <alignment horizontal="right"/>
      <protection locked="0"/>
    </xf>
    <xf numFmtId="0" fontId="0" fillId="0" borderId="0" xfId="58" applyFont="1" applyFill="1" applyBorder="1" applyAlignment="1" applyProtection="1">
      <alignment horizontal="center"/>
      <protection/>
    </xf>
    <xf numFmtId="0" fontId="43" fillId="0" borderId="0" xfId="58" applyFont="1" applyProtection="1">
      <alignment/>
      <protection/>
    </xf>
    <xf numFmtId="0" fontId="0" fillId="0" borderId="0" xfId="58" applyFont="1" applyBorder="1" applyProtection="1">
      <alignment/>
      <protection locked="0"/>
    </xf>
    <xf numFmtId="0" fontId="44" fillId="0" borderId="0" xfId="58" applyFont="1" applyAlignment="1" applyProtection="1">
      <alignment horizontal="right"/>
      <protection locked="0"/>
    </xf>
    <xf numFmtId="3" fontId="43" fillId="34" borderId="23" xfId="58" applyNumberFormat="1" applyFont="1" applyFill="1" applyBorder="1" applyProtection="1">
      <alignment/>
      <protection locked="0"/>
    </xf>
    <xf numFmtId="3" fontId="0" fillId="0" borderId="0" xfId="58" applyNumberFormat="1" applyFont="1" applyBorder="1" applyProtection="1">
      <alignment/>
      <protection/>
    </xf>
    <xf numFmtId="0" fontId="0" fillId="0" borderId="11" xfId="58" applyFont="1" applyBorder="1" applyProtection="1">
      <alignment/>
      <protection locked="0"/>
    </xf>
    <xf numFmtId="0" fontId="34" fillId="0" borderId="11" xfId="58" applyFont="1" applyBorder="1" applyAlignment="1" applyProtection="1">
      <alignment horizontal="right"/>
      <protection locked="0"/>
    </xf>
    <xf numFmtId="3" fontId="37" fillId="34" borderId="24" xfId="58" applyNumberFormat="1" applyFont="1" applyFill="1" applyBorder="1" applyProtection="1">
      <alignment/>
      <protection locked="0"/>
    </xf>
    <xf numFmtId="9" fontId="42" fillId="0" borderId="11" xfId="58" applyNumberFormat="1" applyFont="1" applyBorder="1" applyProtection="1">
      <alignment/>
      <protection/>
    </xf>
    <xf numFmtId="3" fontId="0" fillId="0" borderId="0" xfId="58" applyNumberFormat="1" applyFont="1" applyProtection="1">
      <alignment/>
      <protection locked="0"/>
    </xf>
    <xf numFmtId="3" fontId="0" fillId="0" borderId="11" xfId="58" applyNumberFormat="1" applyFont="1" applyBorder="1" applyProtection="1">
      <alignment/>
      <protection locked="0"/>
    </xf>
    <xf numFmtId="0" fontId="45" fillId="0" borderId="0" xfId="58" applyFont="1" applyProtection="1">
      <alignment/>
      <protection locked="0"/>
    </xf>
    <xf numFmtId="0" fontId="46" fillId="0" borderId="0" xfId="58" applyFont="1">
      <alignment/>
      <protection/>
    </xf>
    <xf numFmtId="0" fontId="47" fillId="0" borderId="0" xfId="58" applyFont="1">
      <alignment/>
      <protection/>
    </xf>
    <xf numFmtId="0" fontId="48" fillId="0" borderId="0" xfId="58" applyFont="1">
      <alignment/>
      <protection/>
    </xf>
    <xf numFmtId="3" fontId="48" fillId="0" borderId="0" xfId="58" applyNumberFormat="1" applyFont="1">
      <alignment/>
      <protection/>
    </xf>
    <xf numFmtId="0" fontId="36" fillId="0" borderId="0" xfId="58" applyFont="1">
      <alignment/>
      <protection/>
    </xf>
    <xf numFmtId="0" fontId="39" fillId="0" borderId="0" xfId="58" applyFont="1">
      <alignment/>
      <protection/>
    </xf>
    <xf numFmtId="0" fontId="49" fillId="0" borderId="0" xfId="58" applyFont="1">
      <alignment/>
      <protection/>
    </xf>
    <xf numFmtId="0" fontId="50" fillId="0" borderId="0" xfId="58" applyFont="1">
      <alignment/>
      <protection/>
    </xf>
    <xf numFmtId="0" fontId="51" fillId="0" borderId="25" xfId="58" applyFont="1" applyBorder="1">
      <alignment/>
      <protection/>
    </xf>
    <xf numFmtId="3" fontId="51" fillId="0" borderId="25" xfId="58" applyNumberFormat="1" applyFont="1" applyBorder="1">
      <alignment/>
      <protection/>
    </xf>
    <xf numFmtId="164" fontId="52" fillId="0" borderId="25" xfId="58" applyNumberFormat="1" applyFont="1" applyBorder="1">
      <alignment/>
      <protection/>
    </xf>
    <xf numFmtId="3" fontId="49" fillId="0" borderId="0" xfId="58" applyNumberFormat="1" applyFont="1">
      <alignment/>
      <protection/>
    </xf>
    <xf numFmtId="3" fontId="53" fillId="0" borderId="0" xfId="58" applyNumberFormat="1" applyFont="1">
      <alignment/>
      <protection/>
    </xf>
    <xf numFmtId="164" fontId="36" fillId="0" borderId="0" xfId="58" applyNumberFormat="1" applyFont="1">
      <alignment/>
      <protection/>
    </xf>
    <xf numFmtId="0" fontId="48" fillId="0" borderId="0" xfId="58" applyFont="1" applyBorder="1">
      <alignment/>
      <protection/>
    </xf>
    <xf numFmtId="0" fontId="36" fillId="0" borderId="26" xfId="58" applyFont="1" applyBorder="1" applyAlignment="1">
      <alignment horizontal="right"/>
      <protection/>
    </xf>
    <xf numFmtId="3" fontId="48" fillId="0" borderId="27" xfId="58" applyNumberFormat="1" applyFont="1" applyBorder="1">
      <alignment/>
      <protection/>
    </xf>
    <xf numFmtId="0" fontId="48" fillId="0" borderId="28" xfId="58" applyFont="1" applyBorder="1">
      <alignment/>
      <protection/>
    </xf>
    <xf numFmtId="0" fontId="36" fillId="0" borderId="29" xfId="58" applyFont="1" applyBorder="1" applyAlignment="1">
      <alignment horizontal="right"/>
      <protection/>
    </xf>
    <xf numFmtId="3" fontId="48" fillId="0" borderId="30" xfId="58" applyNumberFormat="1" applyFont="1" applyBorder="1">
      <alignment/>
      <protection/>
    </xf>
    <xf numFmtId="0" fontId="52" fillId="0" borderId="31" xfId="58" applyFont="1" applyBorder="1">
      <alignment/>
      <protection/>
    </xf>
    <xf numFmtId="164" fontId="48" fillId="0" borderId="11" xfId="58" applyNumberFormat="1" applyFont="1" applyBorder="1">
      <alignment/>
      <protection/>
    </xf>
    <xf numFmtId="0" fontId="47" fillId="0" borderId="32" xfId="58" applyFont="1" applyBorder="1">
      <alignment/>
      <protection/>
    </xf>
    <xf numFmtId="0" fontId="47" fillId="0" borderId="33" xfId="58" applyFont="1" applyBorder="1">
      <alignment/>
      <protection/>
    </xf>
    <xf numFmtId="0" fontId="47" fillId="0" borderId="34" xfId="58" applyFont="1" applyBorder="1">
      <alignment/>
      <protection/>
    </xf>
    <xf numFmtId="1" fontId="47" fillId="0" borderId="0" xfId="58" applyNumberFormat="1" applyFont="1">
      <alignment/>
      <protection/>
    </xf>
    <xf numFmtId="3" fontId="47" fillId="0" borderId="0" xfId="58" applyNumberFormat="1" applyFont="1">
      <alignment/>
      <protection/>
    </xf>
    <xf numFmtId="0" fontId="54" fillId="0" borderId="0" xfId="56" applyFont="1">
      <alignment/>
      <protection/>
    </xf>
    <xf numFmtId="3" fontId="54" fillId="0" borderId="0" xfId="56" applyNumberFormat="1" applyFont="1">
      <alignment/>
      <protection/>
    </xf>
    <xf numFmtId="0" fontId="54" fillId="0" borderId="11" xfId="56" applyFont="1" applyBorder="1">
      <alignment/>
      <protection/>
    </xf>
    <xf numFmtId="3" fontId="54" fillId="0" borderId="11" xfId="56" applyNumberFormat="1" applyFont="1" applyBorder="1">
      <alignment/>
      <protection/>
    </xf>
    <xf numFmtId="0" fontId="55" fillId="0" borderId="11" xfId="56" applyFont="1" applyBorder="1">
      <alignment/>
      <protection/>
    </xf>
    <xf numFmtId="0" fontId="56" fillId="0" borderId="0" xfId="56" applyFont="1">
      <alignment/>
      <protection/>
    </xf>
    <xf numFmtId="3" fontId="56" fillId="0" borderId="0" xfId="56" applyNumberFormat="1" applyFont="1">
      <alignment/>
      <protection/>
    </xf>
    <xf numFmtId="0" fontId="57" fillId="0" borderId="0" xfId="56" applyFont="1" applyBorder="1">
      <alignment/>
      <protection/>
    </xf>
    <xf numFmtId="0" fontId="58" fillId="0" borderId="35" xfId="56" applyFont="1" applyBorder="1" applyAlignment="1">
      <alignment horizontal="center"/>
      <protection/>
    </xf>
    <xf numFmtId="0" fontId="58" fillId="0" borderId="36" xfId="56" applyFont="1" applyBorder="1" applyAlignment="1">
      <alignment/>
      <protection/>
    </xf>
    <xf numFmtId="0" fontId="54" fillId="0" borderId="0" xfId="56" applyFont="1" applyBorder="1">
      <alignment/>
      <protection/>
    </xf>
    <xf numFmtId="3" fontId="54" fillId="0" borderId="0" xfId="56" applyNumberFormat="1" applyFont="1" applyBorder="1">
      <alignment/>
      <protection/>
    </xf>
    <xf numFmtId="9" fontId="59" fillId="0" borderId="15" xfId="56" applyNumberFormat="1" applyFont="1" applyBorder="1" applyAlignment="1">
      <alignment horizontal="center"/>
      <protection/>
    </xf>
    <xf numFmtId="3" fontId="59" fillId="0" borderId="16" xfId="56" applyNumberFormat="1" applyFont="1" applyBorder="1" applyAlignment="1">
      <alignment/>
      <protection/>
    </xf>
    <xf numFmtId="0" fontId="54" fillId="0" borderId="37" xfId="56" applyFont="1" applyBorder="1">
      <alignment/>
      <protection/>
    </xf>
    <xf numFmtId="3" fontId="54" fillId="0" borderId="37" xfId="56" applyNumberFormat="1" applyFont="1" applyBorder="1">
      <alignment/>
      <protection/>
    </xf>
    <xf numFmtId="164" fontId="54" fillId="0" borderId="0" xfId="56" applyNumberFormat="1" applyFont="1">
      <alignment/>
      <protection/>
    </xf>
    <xf numFmtId="0" fontId="59" fillId="0" borderId="17" xfId="56" applyFont="1" applyBorder="1" applyAlignment="1">
      <alignment/>
      <protection/>
    </xf>
    <xf numFmtId="3" fontId="59" fillId="0" borderId="18" xfId="56" applyNumberFormat="1" applyFont="1" applyBorder="1" applyAlignment="1">
      <alignment/>
      <protection/>
    </xf>
    <xf numFmtId="0" fontId="59" fillId="0" borderId="0" xfId="56" applyFont="1" applyBorder="1" applyAlignment="1">
      <alignment/>
      <protection/>
    </xf>
    <xf numFmtId="0" fontId="60" fillId="0" borderId="35" xfId="56" applyFont="1" applyBorder="1">
      <alignment/>
      <protection/>
    </xf>
    <xf numFmtId="3" fontId="60" fillId="0" borderId="36" xfId="56" applyNumberFormat="1" applyFont="1" applyBorder="1">
      <alignment/>
      <protection/>
    </xf>
    <xf numFmtId="0" fontId="59" fillId="0" borderId="0" xfId="56" applyFont="1" applyAlignment="1">
      <alignment/>
      <protection/>
    </xf>
    <xf numFmtId="0" fontId="60" fillId="0" borderId="0" xfId="56" applyFont="1" applyBorder="1">
      <alignment/>
      <protection/>
    </xf>
    <xf numFmtId="3" fontId="60" fillId="0" borderId="0" xfId="56" applyNumberFormat="1" applyFont="1" applyBorder="1">
      <alignment/>
      <protection/>
    </xf>
    <xf numFmtId="165" fontId="54" fillId="0" borderId="0" xfId="56" applyNumberFormat="1" applyFont="1">
      <alignment/>
      <protection/>
    </xf>
    <xf numFmtId="0" fontId="58" fillId="0" borderId="12" xfId="56" applyFont="1" applyBorder="1" applyAlignment="1">
      <alignment horizontal="right"/>
      <protection/>
    </xf>
    <xf numFmtId="0" fontId="58" fillId="0" borderId="14" xfId="56" applyFont="1" applyBorder="1" applyAlignment="1">
      <alignment horizontal="right"/>
      <protection/>
    </xf>
    <xf numFmtId="0" fontId="58" fillId="0" borderId="17" xfId="56" applyFont="1" applyBorder="1" applyAlignment="1">
      <alignment horizontal="right"/>
      <protection/>
    </xf>
    <xf numFmtId="0" fontId="58" fillId="0" borderId="18" xfId="56" applyFont="1" applyBorder="1" applyAlignment="1">
      <alignment horizontal="right"/>
      <protection/>
    </xf>
    <xf numFmtId="3" fontId="59" fillId="0" borderId="12" xfId="56" applyNumberFormat="1" applyFont="1" applyBorder="1" applyAlignment="1">
      <alignment horizontal="right"/>
      <protection/>
    </xf>
    <xf numFmtId="3" fontId="59" fillId="0" borderId="14" xfId="56" applyNumberFormat="1" applyFont="1" applyBorder="1" applyAlignment="1">
      <alignment horizontal="right"/>
      <protection/>
    </xf>
    <xf numFmtId="0" fontId="54" fillId="0" borderId="17" xfId="56" applyFont="1" applyBorder="1">
      <alignment/>
      <protection/>
    </xf>
    <xf numFmtId="0" fontId="54" fillId="0" borderId="18" xfId="56" applyFont="1" applyBorder="1">
      <alignment/>
      <protection/>
    </xf>
    <xf numFmtId="0" fontId="55" fillId="0" borderId="0" xfId="56" applyFont="1" applyAlignment="1">
      <alignment horizontal="right"/>
      <protection/>
    </xf>
    <xf numFmtId="0" fontId="33" fillId="35" borderId="11" xfId="58" applyFont="1" applyFill="1" applyBorder="1" applyAlignment="1" applyProtection="1">
      <alignment horizontal="center"/>
      <protection locked="0"/>
    </xf>
    <xf numFmtId="0" fontId="35" fillId="36" borderId="38" xfId="58" applyFont="1" applyFill="1" applyBorder="1" applyProtection="1">
      <alignment/>
      <protection/>
    </xf>
    <xf numFmtId="0" fontId="35" fillId="36" borderId="39" xfId="58" applyFont="1" applyFill="1" applyBorder="1" applyAlignment="1" applyProtection="1">
      <alignment horizontal="center"/>
      <protection/>
    </xf>
    <xf numFmtId="0" fontId="36" fillId="36" borderId="39" xfId="58" applyFont="1" applyFill="1" applyBorder="1" applyAlignment="1" applyProtection="1">
      <alignment horizontal="center"/>
      <protection/>
    </xf>
    <xf numFmtId="0" fontId="35" fillId="36" borderId="40" xfId="58" applyFont="1" applyFill="1" applyBorder="1" applyProtection="1">
      <alignment/>
      <protection/>
    </xf>
    <xf numFmtId="0" fontId="35" fillId="36" borderId="24" xfId="58" applyFont="1" applyFill="1" applyBorder="1" applyAlignment="1" applyProtection="1">
      <alignment horizontal="center"/>
      <protection/>
    </xf>
    <xf numFmtId="168" fontId="35" fillId="36" borderId="24" xfId="58" applyNumberFormat="1" applyFont="1" applyFill="1" applyBorder="1" applyAlignment="1" applyProtection="1">
      <alignment horizontal="center"/>
      <protection/>
    </xf>
    <xf numFmtId="0" fontId="0" fillId="36" borderId="24" xfId="58" applyFont="1" applyFill="1" applyBorder="1" applyAlignment="1" applyProtection="1">
      <alignment horizontal="center"/>
      <protection/>
    </xf>
    <xf numFmtId="0" fontId="34" fillId="36" borderId="24" xfId="58" applyFont="1" applyFill="1" applyBorder="1" applyAlignment="1" applyProtection="1">
      <alignment horizontal="center"/>
      <protection/>
    </xf>
    <xf numFmtId="0" fontId="36" fillId="36" borderId="24" xfId="58" applyFont="1" applyFill="1" applyBorder="1" applyAlignment="1" applyProtection="1">
      <alignment horizontal="center"/>
      <protection/>
    </xf>
    <xf numFmtId="2" fontId="37" fillId="34" borderId="23" xfId="58" applyNumberFormat="1" applyFont="1" applyFill="1" applyBorder="1" applyAlignment="1" applyProtection="1">
      <alignment horizontal="center"/>
      <protection locked="0"/>
    </xf>
    <xf numFmtId="1" fontId="0" fillId="0" borderId="23" xfId="58" applyNumberFormat="1" applyFont="1" applyBorder="1" applyAlignment="1" applyProtection="1">
      <alignment horizontal="center"/>
      <protection locked="0"/>
    </xf>
    <xf numFmtId="2" fontId="0" fillId="0" borderId="23" xfId="58" applyNumberFormat="1" applyFont="1" applyBorder="1" applyAlignment="1" applyProtection="1">
      <alignment horizontal="center"/>
      <protection/>
    </xf>
    <xf numFmtId="164" fontId="38" fillId="0" borderId="41" xfId="58" applyNumberFormat="1" applyFont="1" applyBorder="1" applyAlignment="1" applyProtection="1">
      <alignment horizontal="center"/>
      <protection/>
    </xf>
    <xf numFmtId="3" fontId="0" fillId="37" borderId="19" xfId="58" applyNumberFormat="1" applyFont="1" applyFill="1" applyBorder="1" applyAlignment="1" applyProtection="1">
      <alignment horizontal="center"/>
      <protection/>
    </xf>
    <xf numFmtId="1" fontId="37" fillId="34" borderId="19" xfId="58" applyNumberFormat="1" applyFont="1" applyFill="1" applyBorder="1" applyAlignment="1" applyProtection="1">
      <alignment horizontal="center"/>
      <protection locked="0"/>
    </xf>
    <xf numFmtId="1" fontId="39" fillId="0" borderId="19" xfId="58" applyNumberFormat="1" applyFont="1" applyFill="1" applyBorder="1" applyAlignment="1" applyProtection="1">
      <alignment horizontal="center"/>
      <protection/>
    </xf>
    <xf numFmtId="0" fontId="37" fillId="34" borderId="19" xfId="58" applyFont="1" applyFill="1" applyBorder="1" applyAlignment="1" applyProtection="1">
      <alignment horizontal="center"/>
      <protection locked="0"/>
    </xf>
    <xf numFmtId="164" fontId="37" fillId="34" borderId="19" xfId="58" applyNumberFormat="1" applyFont="1" applyFill="1" applyBorder="1" applyAlignment="1" applyProtection="1">
      <alignment horizontal="center"/>
      <protection locked="0"/>
    </xf>
    <xf numFmtId="2" fontId="37" fillId="34" borderId="24" xfId="58" applyNumberFormat="1" applyFont="1" applyFill="1" applyBorder="1" applyAlignment="1" applyProtection="1">
      <alignment horizontal="center"/>
      <protection locked="0"/>
    </xf>
    <xf numFmtId="1" fontId="0" fillId="0" borderId="24" xfId="58" applyNumberFormat="1" applyFont="1" applyBorder="1" applyAlignment="1" applyProtection="1">
      <alignment horizontal="center"/>
      <protection locked="0"/>
    </xf>
    <xf numFmtId="2" fontId="0" fillId="0" borderId="24" xfId="58" applyNumberFormat="1" applyFont="1" applyBorder="1" applyAlignment="1" applyProtection="1">
      <alignment horizontal="center"/>
      <protection/>
    </xf>
    <xf numFmtId="164" fontId="38" fillId="0" borderId="42" xfId="58" applyNumberFormat="1" applyFont="1" applyBorder="1" applyAlignment="1" applyProtection="1">
      <alignment horizontal="center"/>
      <protection/>
    </xf>
    <xf numFmtId="3" fontId="0" fillId="37" borderId="20" xfId="58" applyNumberFormat="1" applyFont="1" applyFill="1" applyBorder="1" applyAlignment="1" applyProtection="1">
      <alignment horizontal="center"/>
      <protection/>
    </xf>
    <xf numFmtId="0" fontId="37" fillId="34" borderId="20" xfId="58" applyFont="1" applyFill="1" applyBorder="1" applyAlignment="1" applyProtection="1">
      <alignment horizontal="center"/>
      <protection locked="0"/>
    </xf>
    <xf numFmtId="1" fontId="39" fillId="0" borderId="20" xfId="58" applyNumberFormat="1" applyFont="1" applyFill="1" applyBorder="1" applyAlignment="1" applyProtection="1">
      <alignment horizontal="center"/>
      <protection/>
    </xf>
    <xf numFmtId="0" fontId="0" fillId="0" borderId="43" xfId="58" applyFont="1" applyBorder="1" applyProtection="1">
      <alignment/>
      <protection/>
    </xf>
    <xf numFmtId="2" fontId="40" fillId="0" borderId="44" xfId="58" applyNumberFormat="1" applyFont="1" applyBorder="1" applyAlignment="1" applyProtection="1">
      <alignment horizontal="center"/>
      <protection/>
    </xf>
    <xf numFmtId="0" fontId="0" fillId="0" borderId="44" xfId="58" applyFont="1" applyBorder="1" applyAlignment="1" applyProtection="1">
      <alignment horizontal="center"/>
      <protection/>
    </xf>
    <xf numFmtId="2" fontId="0" fillId="0" borderId="44" xfId="58" applyNumberFormat="1" applyFont="1" applyBorder="1" applyAlignment="1" applyProtection="1">
      <alignment horizontal="center"/>
      <protection/>
    </xf>
    <xf numFmtId="1" fontId="0" fillId="0" borderId="43" xfId="58" applyNumberFormat="1" applyFont="1" applyBorder="1" applyAlignment="1" applyProtection="1">
      <alignment horizontal="center"/>
      <protection/>
    </xf>
    <xf numFmtId="1" fontId="39" fillId="0" borderId="43" xfId="58" applyNumberFormat="1" applyFont="1" applyBorder="1" applyAlignment="1" applyProtection="1">
      <alignment horizontal="center"/>
      <protection/>
    </xf>
    <xf numFmtId="3" fontId="59" fillId="0" borderId="0" xfId="56" applyNumberFormat="1" applyFont="1" applyBorder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 2" xfId="55"/>
    <cellStyle name="Normaali 2 2" xfId="56"/>
    <cellStyle name="Normaali 3" xfId="57"/>
    <cellStyle name="Normal 2" xfId="58"/>
    <cellStyle name="Note" xfId="59"/>
    <cellStyle name="Otsikkokenttä" xfId="60"/>
    <cellStyle name="Output" xfId="61"/>
    <cellStyle name="Percent" xfId="62"/>
    <cellStyle name="Syötekenttä" xfId="63"/>
    <cellStyle name="Title" xfId="64"/>
    <cellStyle name="Total" xfId="65"/>
    <cellStyle name="Warning Text" xfId="66"/>
  </cellStyles>
  <dxfs count="22">
    <dxf>
      <font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auto="1"/>
      </font>
    </dxf>
    <dxf>
      <font>
        <color indexed="18"/>
      </font>
    </dxf>
    <dxf>
      <font>
        <color indexed="16"/>
      </font>
    </dxf>
    <dxf>
      <font>
        <color rgb="FF800000"/>
      </font>
      <border/>
    </dxf>
    <dxf>
      <font>
        <color rgb="FF000080"/>
      </font>
      <border/>
    </dxf>
    <dxf>
      <font>
        <color auto="1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auto="1"/>
      </font>
      <border/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25"/>
          <c:y val="0.282"/>
          <c:w val="0.82775"/>
          <c:h val="0.314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(Yhtveto!$A$4,Yhtveto!$A$6,Yhtveto!$A$8)</c:f>
              <c:strCache/>
            </c:strRef>
          </c:cat>
          <c:val>
            <c:numRef>
              <c:f>(Yhtveto!$C$4,Yhtveto!$C$6,Yhtveto!$C$8)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"/>
          <c:y val="0.682"/>
          <c:w val="0.68525"/>
          <c:h val="0.3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Kannattavuuskuvio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2225"/>
          <c:w val="0.791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Yhtveto!$F$3</c:f>
              <c:strCache>
                <c:ptCount val="1"/>
                <c:pt idx="0">
                  <c:v>Liikevaihto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Yhtveto!$E$4:$E$13</c:f>
              <c:numCache/>
            </c:numRef>
          </c:cat>
          <c:val>
            <c:numRef>
              <c:f>Yhtveto!$F$4:$F$13</c:f>
              <c:numCache/>
            </c:numRef>
          </c:val>
          <c:smooth val="0"/>
        </c:ser>
        <c:ser>
          <c:idx val="1"/>
          <c:order val="1"/>
          <c:tx>
            <c:strRef>
              <c:f>Yhtveto!$H$3</c:f>
              <c:strCache>
                <c:ptCount val="1"/>
                <c:pt idx="0">
                  <c:v>Kiint.kulut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Yhtveto!$E$4:$E$13</c:f>
              <c:numCache/>
            </c:numRef>
          </c:cat>
          <c:val>
            <c:numRef>
              <c:f>Yhtveto!$H$4:$H$13</c:f>
              <c:numCache/>
            </c:numRef>
          </c:val>
          <c:smooth val="0"/>
        </c:ser>
        <c:ser>
          <c:idx val="2"/>
          <c:order val="2"/>
          <c:tx>
            <c:strRef>
              <c:f>Yhtveto!$I$3</c:f>
              <c:strCache>
                <c:ptCount val="1"/>
                <c:pt idx="0">
                  <c:v>Kokonaisk.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Yhtveto!$E$4:$E$13</c:f>
              <c:numCache/>
            </c:numRef>
          </c:cat>
          <c:val>
            <c:numRef>
              <c:f>Yhtveto!$I$4:$I$13</c:f>
              <c:numCache/>
            </c:numRef>
          </c:val>
          <c:smooth val="1"/>
        </c:ser>
        <c:marker val="1"/>
        <c:axId val="66478515"/>
        <c:axId val="61435724"/>
      </c:lineChart>
      <c:catAx>
        <c:axId val="66478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tuhatta euroa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5724"/>
        <c:crosses val="autoZero"/>
        <c:auto val="1"/>
        <c:lblOffset val="100"/>
        <c:tickLblSkip val="1"/>
        <c:noMultiLvlLbl val="0"/>
      </c:catAx>
      <c:valAx>
        <c:axId val="614357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785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25"/>
          <c:y val="0.54125"/>
          <c:w val="0.26875"/>
          <c:h val="0.2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2</xdr:row>
      <xdr:rowOff>114300</xdr:rowOff>
    </xdr:from>
    <xdr:to>
      <xdr:col>9</xdr:col>
      <xdr:colOff>457200</xdr:colOff>
      <xdr:row>13</xdr:row>
      <xdr:rowOff>142875</xdr:rowOff>
    </xdr:to>
    <xdr:graphicFrame>
      <xdr:nvGraphicFramePr>
        <xdr:cNvPr id="1" name="Chart 1"/>
        <xdr:cNvGraphicFramePr/>
      </xdr:nvGraphicFramePr>
      <xdr:xfrm>
        <a:off x="3238500" y="628650"/>
        <a:ext cx="26574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7</xdr:col>
      <xdr:colOff>390525</xdr:colOff>
      <xdr:row>37</xdr:row>
      <xdr:rowOff>28575</xdr:rowOff>
    </xdr:to>
    <xdr:graphicFrame>
      <xdr:nvGraphicFramePr>
        <xdr:cNvPr id="2" name="Chart 5"/>
        <xdr:cNvGraphicFramePr/>
      </xdr:nvGraphicFramePr>
      <xdr:xfrm>
        <a:off x="0" y="4152900"/>
        <a:ext cx="5048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oulutusdisketti\Tuotelaskelma%20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otelas"/>
      <sheetName val="Yhtveto"/>
      <sheetName val="Erittely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="130" zoomScaleNormal="130" zoomScalePageLayoutView="0" workbookViewId="0" topLeftCell="A4">
      <selection activeCell="A13" sqref="A13"/>
    </sheetView>
  </sheetViews>
  <sheetFormatPr defaultColWidth="9.33203125" defaultRowHeight="12.75"/>
  <cols>
    <col min="1" max="1" width="25.83203125" style="6" customWidth="1"/>
    <col min="2" max="2" width="18.16015625" style="5" customWidth="1"/>
    <col min="3" max="3" width="9.33203125" style="6" customWidth="1"/>
    <col min="4" max="4" width="4" style="6" customWidth="1"/>
    <col min="5" max="5" width="17.5" style="6" customWidth="1"/>
    <col min="6" max="6" width="11.16015625" style="7" customWidth="1"/>
    <col min="7" max="7" width="13" style="6" customWidth="1"/>
    <col min="8" max="8" width="12" style="6" customWidth="1"/>
    <col min="9" max="9" width="9.83203125" style="6" bestFit="1" customWidth="1"/>
    <col min="10" max="16384" width="9.33203125" style="6" customWidth="1"/>
  </cols>
  <sheetData>
    <row r="1" ht="20.25">
      <c r="A1" s="4" t="s">
        <v>0</v>
      </c>
    </row>
    <row r="3" spans="1:7" ht="20.25">
      <c r="A3" s="36" t="s">
        <v>32</v>
      </c>
      <c r="B3" s="37"/>
      <c r="C3" s="36"/>
      <c r="D3" s="36"/>
      <c r="E3" s="36"/>
      <c r="F3" s="38"/>
      <c r="G3" s="36"/>
    </row>
    <row r="4" spans="1:7" ht="20.25">
      <c r="A4" s="36"/>
      <c r="B4" s="37"/>
      <c r="C4" s="36"/>
      <c r="D4" s="36"/>
      <c r="E4" s="36"/>
      <c r="F4" s="38"/>
      <c r="G4" s="36"/>
    </row>
    <row r="5" spans="1:7" ht="20.25">
      <c r="A5" s="36" t="s">
        <v>1</v>
      </c>
      <c r="B5" s="37"/>
      <c r="C5" s="36"/>
      <c r="D5" s="36"/>
      <c r="E5" s="36"/>
      <c r="F5" s="38"/>
      <c r="G5" s="36"/>
    </row>
    <row r="6" spans="1:7" ht="20.25">
      <c r="A6" s="36" t="s">
        <v>28</v>
      </c>
      <c r="B6" s="37"/>
      <c r="C6" s="36"/>
      <c r="D6" s="36"/>
      <c r="E6" s="36"/>
      <c r="F6" s="38"/>
      <c r="G6" s="36"/>
    </row>
    <row r="7" spans="1:7" ht="20.25">
      <c r="A7" s="36" t="s">
        <v>33</v>
      </c>
      <c r="B7" s="37"/>
      <c r="C7" s="36"/>
      <c r="D7" s="36"/>
      <c r="E7" s="36"/>
      <c r="F7" s="38"/>
      <c r="G7" s="36"/>
    </row>
    <row r="8" spans="1:7" ht="21" customHeight="1">
      <c r="A8" s="36"/>
      <c r="B8" s="37"/>
      <c r="C8" s="36"/>
      <c r="D8" s="36"/>
      <c r="E8" s="36"/>
      <c r="F8" s="38"/>
      <c r="G8" s="36"/>
    </row>
    <row r="9" spans="1:6" ht="21" customHeight="1">
      <c r="A9" s="6" t="s">
        <v>26</v>
      </c>
      <c r="B9" s="7"/>
      <c r="C9" s="7" t="s">
        <v>29</v>
      </c>
      <c r="D9" s="7"/>
      <c r="E9" s="7"/>
      <c r="F9" s="7" t="s">
        <v>29</v>
      </c>
    </row>
    <row r="10" spans="1:6" ht="21" customHeight="1">
      <c r="A10" s="6" t="s">
        <v>31</v>
      </c>
      <c r="B10" s="7"/>
      <c r="C10" s="7" t="s">
        <v>29</v>
      </c>
      <c r="E10" s="7"/>
      <c r="F10" s="7" t="s">
        <v>29</v>
      </c>
    </row>
    <row r="11" spans="1:11" ht="21" customHeight="1">
      <c r="A11" s="6" t="s">
        <v>27</v>
      </c>
      <c r="B11" s="5">
        <v>12500</v>
      </c>
      <c r="C11" s="6" t="s">
        <v>30</v>
      </c>
      <c r="E11" s="35">
        <v>22000</v>
      </c>
      <c r="F11" s="6" t="s">
        <v>30</v>
      </c>
      <c r="G11" s="8"/>
      <c r="H11" s="8"/>
      <c r="I11" s="8"/>
      <c r="J11" s="8"/>
      <c r="K11" s="8"/>
    </row>
    <row r="12" spans="5:11" ht="21" customHeight="1">
      <c r="E12" s="35"/>
      <c r="F12" s="6"/>
      <c r="G12" s="8"/>
      <c r="H12" s="8"/>
      <c r="I12" s="8"/>
      <c r="J12" s="8"/>
      <c r="K12" s="8"/>
    </row>
    <row r="13" spans="5:11" ht="21" customHeight="1">
      <c r="E13" s="35"/>
      <c r="F13" s="6"/>
      <c r="G13" s="8"/>
      <c r="H13" s="8"/>
      <c r="I13" s="8"/>
      <c r="J13" s="8"/>
      <c r="K13" s="8"/>
    </row>
    <row r="14" spans="1:13" ht="21" customHeight="1">
      <c r="A14" s="8"/>
      <c r="B14" s="42" t="s">
        <v>2</v>
      </c>
      <c r="C14" s="43"/>
      <c r="D14" s="43"/>
      <c r="E14" s="42" t="s">
        <v>3</v>
      </c>
      <c r="F14" s="44"/>
      <c r="G14" s="43" t="s">
        <v>19</v>
      </c>
      <c r="H14" s="41"/>
      <c r="I14" s="8"/>
      <c r="J14" s="8"/>
      <c r="K14" s="8"/>
      <c r="L14" s="8"/>
      <c r="M14" s="8"/>
    </row>
    <row r="15" spans="1:13" ht="20.25">
      <c r="A15" s="8" t="s">
        <v>18</v>
      </c>
      <c r="B15" s="2"/>
      <c r="C15" s="17"/>
      <c r="D15" s="18"/>
      <c r="E15" s="2"/>
      <c r="F15" s="26"/>
      <c r="G15" s="2"/>
      <c r="H15" s="31"/>
      <c r="I15" s="8"/>
      <c r="J15" s="9"/>
      <c r="K15" s="8"/>
      <c r="L15" s="8"/>
      <c r="M15" s="8"/>
    </row>
    <row r="16" spans="1:13" ht="20.25">
      <c r="A16" s="10" t="s">
        <v>4</v>
      </c>
      <c r="B16" s="3"/>
      <c r="C16" s="19"/>
      <c r="D16" s="20"/>
      <c r="E16" s="3"/>
      <c r="F16" s="27"/>
      <c r="G16" s="3"/>
      <c r="H16" s="29"/>
      <c r="I16" s="8"/>
      <c r="J16" s="9"/>
      <c r="K16" s="8"/>
      <c r="L16" s="8"/>
      <c r="M16" s="8"/>
    </row>
    <row r="17" spans="1:13" ht="20.25">
      <c r="A17" s="6" t="s">
        <v>5</v>
      </c>
      <c r="B17" s="11"/>
      <c r="C17" s="21">
        <v>100</v>
      </c>
      <c r="D17" s="22"/>
      <c r="E17" s="11"/>
      <c r="F17" s="28">
        <v>100</v>
      </c>
      <c r="G17" s="2"/>
      <c r="H17" s="26">
        <v>100</v>
      </c>
      <c r="I17" s="8"/>
      <c r="J17" s="12"/>
      <c r="K17" s="8"/>
      <c r="L17" s="8"/>
      <c r="M17" s="8"/>
    </row>
    <row r="18" spans="1:13" ht="20.25">
      <c r="A18" s="10" t="s">
        <v>7</v>
      </c>
      <c r="B18" s="3"/>
      <c r="C18" s="19"/>
      <c r="D18" s="20"/>
      <c r="E18" s="3"/>
      <c r="F18" s="29"/>
      <c r="G18" s="3"/>
      <c r="H18" s="32"/>
      <c r="I18" s="8"/>
      <c r="J18" s="9"/>
      <c r="K18" s="8"/>
      <c r="L18" s="8"/>
      <c r="M18" s="8"/>
    </row>
    <row r="19" spans="1:13" ht="20.25">
      <c r="A19" s="6" t="s">
        <v>8</v>
      </c>
      <c r="B19" s="11"/>
      <c r="C19" s="23"/>
      <c r="D19" s="22"/>
      <c r="E19" s="11"/>
      <c r="F19" s="23"/>
      <c r="G19" s="11"/>
      <c r="H19" s="33"/>
      <c r="I19" s="13"/>
      <c r="J19" s="9"/>
      <c r="K19" s="13"/>
      <c r="L19" s="8"/>
      <c r="M19" s="8"/>
    </row>
    <row r="20" spans="1:13" ht="20.25">
      <c r="A20" s="10" t="s">
        <v>9</v>
      </c>
      <c r="B20" s="3"/>
      <c r="C20" s="24"/>
      <c r="D20" s="20"/>
      <c r="E20" s="3"/>
      <c r="F20" s="29"/>
      <c r="G20" s="3"/>
      <c r="H20" s="34"/>
      <c r="I20" s="8"/>
      <c r="J20" s="8"/>
      <c r="K20" s="8"/>
      <c r="L20" s="8"/>
      <c r="M20" s="8"/>
    </row>
    <row r="21" spans="1:8" ht="20.25">
      <c r="A21" s="6" t="s">
        <v>10</v>
      </c>
      <c r="B21" s="11"/>
      <c r="C21" s="23"/>
      <c r="D21" s="22"/>
      <c r="E21" s="11"/>
      <c r="F21" s="30"/>
      <c r="G21" s="11"/>
      <c r="H21" s="33"/>
    </row>
    <row r="22" spans="1:8" ht="20.25">
      <c r="A22" s="14" t="s">
        <v>20</v>
      </c>
      <c r="B22" s="11"/>
      <c r="C22" s="21"/>
      <c r="D22" s="22"/>
      <c r="E22" s="11"/>
      <c r="F22" s="21"/>
      <c r="G22" s="11">
        <v>8600</v>
      </c>
      <c r="H22" s="33"/>
    </row>
    <row r="23" spans="1:8" ht="20.25">
      <c r="A23" s="15" t="s">
        <v>21</v>
      </c>
      <c r="B23" s="11"/>
      <c r="C23" s="21"/>
      <c r="D23" s="22"/>
      <c r="E23" s="11"/>
      <c r="F23" s="21"/>
      <c r="G23" s="11">
        <v>6500</v>
      </c>
      <c r="H23" s="33"/>
    </row>
    <row r="24" spans="1:8" ht="20.25">
      <c r="A24" s="16" t="s">
        <v>22</v>
      </c>
      <c r="B24" s="3"/>
      <c r="C24" s="25"/>
      <c r="D24" s="20"/>
      <c r="E24" s="3"/>
      <c r="F24" s="29"/>
      <c r="G24" s="3">
        <v>9200</v>
      </c>
      <c r="H24" s="34"/>
    </row>
    <row r="25" spans="1:8" ht="20.25">
      <c r="A25" s="15" t="s">
        <v>23</v>
      </c>
      <c r="B25" s="11"/>
      <c r="C25" s="23"/>
      <c r="D25" s="22"/>
      <c r="E25" s="11"/>
      <c r="F25" s="30"/>
      <c r="G25" s="11"/>
      <c r="H25" s="33"/>
    </row>
    <row r="26" spans="1:8" ht="20.25">
      <c r="A26" s="15" t="s">
        <v>24</v>
      </c>
      <c r="B26" s="11"/>
      <c r="C26" s="21"/>
      <c r="D26" s="22"/>
      <c r="E26" s="11"/>
      <c r="F26" s="30"/>
      <c r="G26" s="11">
        <v>15000</v>
      </c>
      <c r="H26" s="33"/>
    </row>
    <row r="27" spans="1:8" ht="20.25">
      <c r="A27" s="16" t="s">
        <v>25</v>
      </c>
      <c r="B27" s="3"/>
      <c r="C27" s="20"/>
      <c r="D27" s="20"/>
      <c r="E27" s="10"/>
      <c r="F27" s="39"/>
      <c r="G27" s="3">
        <v>22300</v>
      </c>
      <c r="H27" s="34"/>
    </row>
    <row r="28" spans="1:8" ht="20.25">
      <c r="A28" s="6" t="s">
        <v>34</v>
      </c>
      <c r="B28" s="6"/>
      <c r="F28" s="6"/>
      <c r="G28" s="11"/>
      <c r="H28" s="33"/>
    </row>
    <row r="29" ht="20.25">
      <c r="G29" s="5"/>
    </row>
    <row r="32" spans="2:6" ht="20.25">
      <c r="B32" s="6"/>
      <c r="F32" s="6"/>
    </row>
    <row r="33" spans="2:6" ht="20.25">
      <c r="B33" s="6"/>
      <c r="F33" s="6"/>
    </row>
    <row r="34" ht="20.25">
      <c r="A34" s="6" t="s">
        <v>11</v>
      </c>
    </row>
    <row r="37" spans="1:7" ht="20.25">
      <c r="A37" s="1" t="s">
        <v>12</v>
      </c>
      <c r="D37" s="1"/>
      <c r="E37" s="45" t="s">
        <v>13</v>
      </c>
      <c r="F37" s="46" t="e">
        <f>(G20+G22+G23+G24+G26+G27)*100/H19</f>
        <v>#DIV/0!</v>
      </c>
      <c r="G37" s="47" t="s">
        <v>14</v>
      </c>
    </row>
    <row r="38" spans="1:7" ht="20.25">
      <c r="A38" s="1" t="s">
        <v>15</v>
      </c>
      <c r="D38" s="1"/>
      <c r="E38" s="48" t="s">
        <v>16</v>
      </c>
      <c r="F38" s="49" t="e">
        <f>G17-F37</f>
        <v>#DIV/0!</v>
      </c>
      <c r="G38" s="50" t="s">
        <v>14</v>
      </c>
    </row>
    <row r="39" spans="1:7" ht="20.25">
      <c r="A39" s="1" t="s">
        <v>17</v>
      </c>
      <c r="D39" s="1"/>
      <c r="E39" s="51" t="s">
        <v>13</v>
      </c>
      <c r="F39" s="52" t="e">
        <f>F38/G17*100</f>
        <v>#DIV/0!</v>
      </c>
      <c r="G39" s="53" t="s">
        <v>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130" zoomScaleNormal="130" zoomScalePageLayoutView="0" workbookViewId="0" topLeftCell="A7">
      <selection activeCell="F35" sqref="F35"/>
    </sheetView>
  </sheetViews>
  <sheetFormatPr defaultColWidth="9.33203125" defaultRowHeight="12.75"/>
  <cols>
    <col min="1" max="1" width="25.83203125" style="6" customWidth="1"/>
    <col min="2" max="2" width="18.16015625" style="5" customWidth="1"/>
    <col min="3" max="3" width="9.33203125" style="6" customWidth="1"/>
    <col min="4" max="4" width="4" style="6" customWidth="1"/>
    <col min="5" max="5" width="17.5" style="6" customWidth="1"/>
    <col min="6" max="6" width="11.16015625" style="7" customWidth="1"/>
    <col min="7" max="7" width="13" style="6" customWidth="1"/>
    <col min="8" max="8" width="12" style="6" customWidth="1"/>
    <col min="9" max="9" width="9.83203125" style="6" bestFit="1" customWidth="1"/>
    <col min="10" max="16384" width="9.33203125" style="6" customWidth="1"/>
  </cols>
  <sheetData>
    <row r="1" ht="20.25">
      <c r="A1" s="4" t="s">
        <v>0</v>
      </c>
    </row>
    <row r="3" spans="1:7" ht="20.25">
      <c r="A3" s="36" t="s">
        <v>32</v>
      </c>
      <c r="B3" s="37"/>
      <c r="C3" s="36"/>
      <c r="D3" s="36"/>
      <c r="E3" s="36"/>
      <c r="F3" s="38"/>
      <c r="G3" s="36"/>
    </row>
    <row r="4" spans="1:7" ht="20.25">
      <c r="A4" s="36"/>
      <c r="B4" s="37"/>
      <c r="C4" s="36"/>
      <c r="D4" s="36"/>
      <c r="E4" s="36"/>
      <c r="F4" s="38"/>
      <c r="G4" s="36"/>
    </row>
    <row r="5" spans="1:7" ht="20.25">
      <c r="A5" s="36" t="s">
        <v>1</v>
      </c>
      <c r="B5" s="37"/>
      <c r="C5" s="36"/>
      <c r="D5" s="36"/>
      <c r="E5" s="36"/>
      <c r="F5" s="38"/>
      <c r="G5" s="36"/>
    </row>
    <row r="6" spans="1:7" ht="20.25">
      <c r="A6" s="36" t="s">
        <v>28</v>
      </c>
      <c r="B6" s="37"/>
      <c r="C6" s="36"/>
      <c r="D6" s="36"/>
      <c r="E6" s="36"/>
      <c r="F6" s="38"/>
      <c r="G6" s="36"/>
    </row>
    <row r="7" spans="1:7" ht="20.25">
      <c r="A7" s="36" t="s">
        <v>33</v>
      </c>
      <c r="B7" s="37"/>
      <c r="C7" s="36"/>
      <c r="D7" s="36"/>
      <c r="E7" s="36"/>
      <c r="F7" s="38"/>
      <c r="G7" s="36"/>
    </row>
    <row r="8" spans="1:7" ht="21" customHeight="1">
      <c r="A8" s="36"/>
      <c r="B8" s="37"/>
      <c r="C8" s="36"/>
      <c r="D8" s="36"/>
      <c r="E8" s="36"/>
      <c r="F8" s="38"/>
      <c r="G8" s="36"/>
    </row>
    <row r="9" spans="1:6" ht="21" customHeight="1">
      <c r="A9" s="6" t="s">
        <v>26</v>
      </c>
      <c r="B9" s="7">
        <v>6</v>
      </c>
      <c r="C9" s="7" t="s">
        <v>29</v>
      </c>
      <c r="D9" s="7"/>
      <c r="E9" s="7">
        <f>7.38*1.22</f>
        <v>9.0036</v>
      </c>
      <c r="F9" s="7" t="s">
        <v>29</v>
      </c>
    </row>
    <row r="10" spans="1:6" ht="21" customHeight="1">
      <c r="A10" s="6" t="s">
        <v>31</v>
      </c>
      <c r="B10" s="7">
        <v>1.8</v>
      </c>
      <c r="C10" s="7" t="s">
        <v>29</v>
      </c>
      <c r="E10" s="7">
        <f>2.3/1.22</f>
        <v>1.8852459016393441</v>
      </c>
      <c r="F10" s="7" t="s">
        <v>29</v>
      </c>
    </row>
    <row r="11" spans="1:11" ht="21" customHeight="1">
      <c r="A11" s="6" t="s">
        <v>27</v>
      </c>
      <c r="B11" s="5">
        <v>12500</v>
      </c>
      <c r="C11" s="6" t="s">
        <v>30</v>
      </c>
      <c r="E11" s="35">
        <v>22000</v>
      </c>
      <c r="F11" s="6" t="s">
        <v>30</v>
      </c>
      <c r="G11" s="8"/>
      <c r="H11" s="8"/>
      <c r="I11" s="8"/>
      <c r="J11" s="8"/>
      <c r="K11" s="8"/>
    </row>
    <row r="12" spans="5:11" ht="21" customHeight="1">
      <c r="E12" s="35"/>
      <c r="F12" s="6"/>
      <c r="G12" s="8"/>
      <c r="H12" s="8"/>
      <c r="I12" s="8"/>
      <c r="J12" s="8"/>
      <c r="K12" s="8"/>
    </row>
    <row r="13" spans="5:11" ht="21" customHeight="1">
      <c r="E13" s="35"/>
      <c r="F13" s="6"/>
      <c r="G13" s="8"/>
      <c r="H13" s="8"/>
      <c r="I13" s="8"/>
      <c r="J13" s="8"/>
      <c r="K13" s="8"/>
    </row>
    <row r="14" spans="1:13" ht="21" customHeight="1">
      <c r="A14" s="8"/>
      <c r="B14" s="42" t="s">
        <v>2</v>
      </c>
      <c r="C14" s="43"/>
      <c r="D14" s="43"/>
      <c r="E14" s="42" t="s">
        <v>3</v>
      </c>
      <c r="F14" s="44"/>
      <c r="G14" s="43" t="s">
        <v>19</v>
      </c>
      <c r="H14" s="41"/>
      <c r="I14" s="8"/>
      <c r="J14" s="8"/>
      <c r="K14" s="8"/>
      <c r="L14" s="8"/>
      <c r="M14" s="8"/>
    </row>
    <row r="15" spans="1:13" ht="20.25">
      <c r="A15" s="8" t="s">
        <v>18</v>
      </c>
      <c r="B15" s="2">
        <f>B9*B11</f>
        <v>75000</v>
      </c>
      <c r="C15" s="17">
        <f>C17+C16</f>
        <v>112</v>
      </c>
      <c r="D15" s="18"/>
      <c r="E15" s="2">
        <f>E9*E11</f>
        <v>198079.2</v>
      </c>
      <c r="F15" s="26">
        <f>F17+F16</f>
        <v>122</v>
      </c>
      <c r="G15" s="2">
        <f>B15+E15</f>
        <v>273079.2</v>
      </c>
      <c r="H15" s="31">
        <f>+H17+H16</f>
        <v>119.07993047898485</v>
      </c>
      <c r="I15" s="8"/>
      <c r="J15" s="9"/>
      <c r="K15" s="8"/>
      <c r="L15" s="8"/>
      <c r="M15" s="8"/>
    </row>
    <row r="16" spans="1:13" ht="20.25">
      <c r="A16" s="10" t="s">
        <v>4</v>
      </c>
      <c r="B16" s="3">
        <f>B15-B17</f>
        <v>8035.71428571429</v>
      </c>
      <c r="C16" s="19">
        <v>12</v>
      </c>
      <c r="D16" s="20"/>
      <c r="E16" s="3">
        <f>E15-E17</f>
        <v>35719.20000000001</v>
      </c>
      <c r="F16" s="27">
        <v>22</v>
      </c>
      <c r="G16" s="3">
        <f>B16+E16</f>
        <v>43754.9142857143</v>
      </c>
      <c r="H16" s="29">
        <f>G16*H17/G17</f>
        <v>19.07993047898485</v>
      </c>
      <c r="I16" s="8"/>
      <c r="J16" s="9"/>
      <c r="K16" s="8"/>
      <c r="L16" s="8"/>
      <c r="M16" s="8"/>
    </row>
    <row r="17" spans="1:13" ht="20.25">
      <c r="A17" s="6" t="s">
        <v>5</v>
      </c>
      <c r="B17" s="11">
        <f>B15*C17/C15</f>
        <v>66964.28571428571</v>
      </c>
      <c r="C17" s="21">
        <v>100</v>
      </c>
      <c r="D17" s="22"/>
      <c r="E17" s="11">
        <f>E15*F17/F15</f>
        <v>162360</v>
      </c>
      <c r="F17" s="28">
        <v>100</v>
      </c>
      <c r="G17" s="2">
        <f>B17+E17</f>
        <v>229324.2857142857</v>
      </c>
      <c r="H17" s="26">
        <v>100</v>
      </c>
      <c r="I17" s="8"/>
      <c r="J17" s="12"/>
      <c r="K17" s="8"/>
      <c r="L17" s="8"/>
      <c r="M17" s="8"/>
    </row>
    <row r="18" spans="1:13" ht="20.25">
      <c r="A18" s="10" t="s">
        <v>7</v>
      </c>
      <c r="B18" s="3">
        <f>B10*B11</f>
        <v>22500</v>
      </c>
      <c r="C18" s="19"/>
      <c r="D18" s="20"/>
      <c r="E18" s="3">
        <f>E10*E11</f>
        <v>41475.40983606557</v>
      </c>
      <c r="F18" s="29"/>
      <c r="G18" s="3">
        <f>B18+E18</f>
        <v>63975.40983606557</v>
      </c>
      <c r="H18" s="32"/>
      <c r="I18" s="8"/>
      <c r="J18" s="9"/>
      <c r="K18" s="8"/>
      <c r="L18" s="8"/>
      <c r="M18" s="8"/>
    </row>
    <row r="19" spans="1:13" ht="20.25">
      <c r="A19" s="6" t="s">
        <v>8</v>
      </c>
      <c r="B19" s="11">
        <f>B17-B18</f>
        <v>44464.28571428571</v>
      </c>
      <c r="C19" s="23">
        <f>B19*C17/B17</f>
        <v>66.39999999999999</v>
      </c>
      <c r="D19" s="22"/>
      <c r="E19" s="11">
        <f>E17-E18</f>
        <v>120884.59016393442</v>
      </c>
      <c r="F19" s="23">
        <f>E19*F17/E17</f>
        <v>74.45466257941267</v>
      </c>
      <c r="G19" s="11">
        <f>G17-G18</f>
        <v>165348.87587822013</v>
      </c>
      <c r="H19" s="33">
        <f>G19*H17/G17</f>
        <v>72.10264510939224</v>
      </c>
      <c r="I19" s="13"/>
      <c r="J19" s="9"/>
      <c r="K19" s="13"/>
      <c r="L19" s="8"/>
      <c r="M19" s="8"/>
    </row>
    <row r="20" spans="1:13" ht="20.25">
      <c r="A20" s="10" t="s">
        <v>9</v>
      </c>
      <c r="B20" s="3"/>
      <c r="C20" s="24"/>
      <c r="D20" s="20"/>
      <c r="E20" s="3"/>
      <c r="F20" s="29"/>
      <c r="G20" s="3">
        <f>(12*2000*1.6)*2</f>
        <v>76800</v>
      </c>
      <c r="H20" s="34">
        <f>H19-H21</f>
        <v>33.48969332261862</v>
      </c>
      <c r="I20" s="8"/>
      <c r="J20" s="8"/>
      <c r="K20" s="8"/>
      <c r="L20" s="8"/>
      <c r="M20" s="8"/>
    </row>
    <row r="21" spans="1:8" ht="20.25">
      <c r="A21" s="6" t="s">
        <v>10</v>
      </c>
      <c r="B21" s="11"/>
      <c r="C21" s="23"/>
      <c r="D21" s="22"/>
      <c r="E21" s="11"/>
      <c r="F21" s="30"/>
      <c r="G21" s="11">
        <f>G19-G20</f>
        <v>88548.87587822013</v>
      </c>
      <c r="H21" s="33">
        <f>G21*H19/G19</f>
        <v>38.61295178677362</v>
      </c>
    </row>
    <row r="22" spans="1:8" ht="20.25">
      <c r="A22" s="14" t="s">
        <v>20</v>
      </c>
      <c r="B22" s="11"/>
      <c r="C22" s="21"/>
      <c r="D22" s="22"/>
      <c r="E22" s="11"/>
      <c r="F22" s="21"/>
      <c r="G22" s="11">
        <v>8600</v>
      </c>
      <c r="H22" s="33">
        <f>G22*100/$G$17</f>
        <v>3.750147950189065</v>
      </c>
    </row>
    <row r="23" spans="1:8" ht="20.25">
      <c r="A23" s="15" t="s">
        <v>21</v>
      </c>
      <c r="B23" s="11"/>
      <c r="C23" s="21"/>
      <c r="D23" s="22"/>
      <c r="E23" s="11"/>
      <c r="F23" s="21"/>
      <c r="G23" s="11">
        <v>6500</v>
      </c>
      <c r="H23" s="33">
        <f>G23*100/$G$17</f>
        <v>2.8344141483987118</v>
      </c>
    </row>
    <row r="24" spans="1:8" ht="20.25">
      <c r="A24" s="16" t="s">
        <v>22</v>
      </c>
      <c r="B24" s="3"/>
      <c r="C24" s="25"/>
      <c r="D24" s="20"/>
      <c r="E24" s="3"/>
      <c r="F24" s="29"/>
      <c r="G24" s="3">
        <v>9200</v>
      </c>
      <c r="H24" s="34">
        <f>G24*100/$G$17</f>
        <v>4.011786179272023</v>
      </c>
    </row>
    <row r="25" spans="1:8" ht="20.25">
      <c r="A25" s="15" t="s">
        <v>23</v>
      </c>
      <c r="B25" s="11"/>
      <c r="C25" s="23"/>
      <c r="D25" s="22"/>
      <c r="E25" s="11"/>
      <c r="F25" s="30"/>
      <c r="G25" s="11">
        <f>G21-G22-G23-G24</f>
        <v>64248.87587822013</v>
      </c>
      <c r="H25" s="33">
        <f>G25*H17/G17</f>
        <v>28.016603508913825</v>
      </c>
    </row>
    <row r="26" spans="1:8" ht="20.25">
      <c r="A26" s="15" t="s">
        <v>24</v>
      </c>
      <c r="B26" s="11"/>
      <c r="C26" s="21"/>
      <c r="D26" s="22"/>
      <c r="E26" s="11"/>
      <c r="F26" s="30"/>
      <c r="G26" s="11">
        <v>15000</v>
      </c>
      <c r="H26" s="33">
        <f>G26*100/$G$17</f>
        <v>6.540955727073951</v>
      </c>
    </row>
    <row r="27" spans="1:8" ht="20.25">
      <c r="A27" s="16" t="s">
        <v>25</v>
      </c>
      <c r="B27" s="3"/>
      <c r="C27" s="20"/>
      <c r="D27" s="20"/>
      <c r="E27" s="10"/>
      <c r="F27" s="39"/>
      <c r="G27" s="40">
        <v>22300</v>
      </c>
      <c r="H27" s="34">
        <f>G27*100/$G$17</f>
        <v>9.724220847583274</v>
      </c>
    </row>
    <row r="28" spans="1:8" ht="20.25">
      <c r="A28" s="6" t="s">
        <v>34</v>
      </c>
      <c r="B28" s="6"/>
      <c r="F28" s="6"/>
      <c r="G28" s="11">
        <f>G25-G26-G27</f>
        <v>26948.875878220133</v>
      </c>
      <c r="H28" s="33">
        <f>G28*100/$G$17</f>
        <v>11.751426934256601</v>
      </c>
    </row>
    <row r="32" spans="2:6" ht="20.25">
      <c r="B32" s="6"/>
      <c r="F32" s="6"/>
    </row>
    <row r="33" spans="2:6" ht="20.25">
      <c r="B33" s="6"/>
      <c r="F33" s="6"/>
    </row>
    <row r="34" ht="20.25">
      <c r="A34" s="6" t="s">
        <v>11</v>
      </c>
    </row>
    <row r="37" spans="1:7" ht="20.25">
      <c r="A37" s="1" t="s">
        <v>12</v>
      </c>
      <c r="D37" s="1"/>
      <c r="E37" s="45" t="s">
        <v>13</v>
      </c>
      <c r="F37" s="46">
        <f>(G20+G22+G23+G24+G26+G27)*100/H19</f>
        <v>191948.5752430069</v>
      </c>
      <c r="G37" s="47" t="s">
        <v>14</v>
      </c>
    </row>
    <row r="38" spans="1:7" ht="20.25">
      <c r="A38" s="1" t="s">
        <v>15</v>
      </c>
      <c r="D38" s="1"/>
      <c r="E38" s="48" t="s">
        <v>16</v>
      </c>
      <c r="F38" s="49">
        <f>G17-F37</f>
        <v>37375.71047127881</v>
      </c>
      <c r="G38" s="50" t="s">
        <v>14</v>
      </c>
    </row>
    <row r="39" spans="1:7" ht="20.25">
      <c r="A39" s="1" t="s">
        <v>17</v>
      </c>
      <c r="D39" s="1"/>
      <c r="E39" s="51" t="s">
        <v>13</v>
      </c>
      <c r="F39" s="52">
        <f>F38/G17*100</f>
        <v>16.29819116403793</v>
      </c>
      <c r="G39" s="53" t="s">
        <v>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showGridLines="0" zoomScalePageLayoutView="0" workbookViewId="0" topLeftCell="A16">
      <selection activeCell="B52" sqref="B52"/>
    </sheetView>
  </sheetViews>
  <sheetFormatPr defaultColWidth="9.33203125" defaultRowHeight="12.75"/>
  <cols>
    <col min="1" max="1" width="15" style="57" customWidth="1"/>
    <col min="2" max="4" width="9.33203125" style="57" customWidth="1"/>
    <col min="5" max="5" width="11.5" style="57" customWidth="1"/>
    <col min="6" max="8" width="9.33203125" style="57" customWidth="1"/>
    <col min="9" max="9" width="9.83203125" style="55" customWidth="1"/>
    <col min="10" max="16384" width="9.33203125" style="57" customWidth="1"/>
  </cols>
  <sheetData>
    <row r="1" spans="1:10" ht="20.25">
      <c r="A1" s="54" t="s">
        <v>35</v>
      </c>
      <c r="B1" s="55"/>
      <c r="C1" s="55"/>
      <c r="D1" s="55"/>
      <c r="E1" s="55" t="s">
        <v>36</v>
      </c>
      <c r="F1" s="55"/>
      <c r="G1" s="55"/>
      <c r="H1" s="55"/>
      <c r="J1" s="56"/>
    </row>
    <row r="2" spans="1:10" ht="12" customHeight="1">
      <c r="A2" s="58"/>
      <c r="B2" s="58"/>
      <c r="C2" s="58"/>
      <c r="D2" s="58"/>
      <c r="E2" s="58"/>
      <c r="F2" s="58"/>
      <c r="G2" s="58"/>
      <c r="H2" s="59"/>
      <c r="I2" s="59"/>
      <c r="J2" s="59"/>
    </row>
    <row r="3" spans="1:10" ht="12.75">
      <c r="A3" s="60" t="s">
        <v>37</v>
      </c>
      <c r="B3" s="61"/>
      <c r="C3" s="62"/>
      <c r="D3" s="62"/>
      <c r="E3" s="62"/>
      <c r="F3" s="59"/>
      <c r="G3" s="63"/>
      <c r="H3" s="63"/>
      <c r="I3" s="58"/>
      <c r="J3" s="63"/>
    </row>
    <row r="4" spans="1:10" ht="15.75">
      <c r="A4" s="58"/>
      <c r="B4" s="58"/>
      <c r="C4" s="58"/>
      <c r="D4" s="58"/>
      <c r="E4" s="59"/>
      <c r="F4" s="59"/>
      <c r="G4" s="64"/>
      <c r="H4" s="65" t="s">
        <v>113</v>
      </c>
      <c r="I4" s="167">
        <v>330</v>
      </c>
      <c r="J4" s="63"/>
    </row>
    <row r="5" spans="1:10" ht="12.75">
      <c r="A5" s="58"/>
      <c r="B5" s="58"/>
      <c r="C5" s="58"/>
      <c r="D5" s="58"/>
      <c r="E5" s="71"/>
      <c r="F5" s="58"/>
      <c r="G5" s="55"/>
      <c r="I5" s="63"/>
      <c r="J5" s="63"/>
    </row>
    <row r="6" spans="1:10" ht="13.5">
      <c r="A6" s="168" t="s">
        <v>38</v>
      </c>
      <c r="B6" s="169" t="s">
        <v>41</v>
      </c>
      <c r="C6" s="169" t="s">
        <v>39</v>
      </c>
      <c r="D6" s="169" t="s">
        <v>40</v>
      </c>
      <c r="E6" s="169" t="s">
        <v>31</v>
      </c>
      <c r="F6" s="169" t="s">
        <v>114</v>
      </c>
      <c r="G6" s="169" t="s">
        <v>42</v>
      </c>
      <c r="H6" s="169" t="s">
        <v>41</v>
      </c>
      <c r="I6" s="169" t="s">
        <v>41</v>
      </c>
      <c r="J6" s="170" t="s">
        <v>41</v>
      </c>
    </row>
    <row r="7" spans="1:10" ht="13.5">
      <c r="A7" s="171"/>
      <c r="B7" s="172" t="s">
        <v>115</v>
      </c>
      <c r="C7" s="173" t="s">
        <v>6</v>
      </c>
      <c r="D7" s="173" t="s">
        <v>115</v>
      </c>
      <c r="E7" s="174" t="s">
        <v>43</v>
      </c>
      <c r="F7" s="172"/>
      <c r="G7" s="175" t="s">
        <v>44</v>
      </c>
      <c r="H7" s="172" t="s">
        <v>45</v>
      </c>
      <c r="I7" s="172" t="s">
        <v>116</v>
      </c>
      <c r="J7" s="176" t="s">
        <v>46</v>
      </c>
    </row>
    <row r="8" spans="1:10" ht="13.5">
      <c r="A8" s="66" t="s">
        <v>117</v>
      </c>
      <c r="B8" s="177">
        <v>12</v>
      </c>
      <c r="C8" s="178">
        <v>22</v>
      </c>
      <c r="D8" s="179">
        <f aca="true" t="shared" si="0" ref="D8:D19">+B8*100/(100+C8)</f>
        <v>9.836065573770492</v>
      </c>
      <c r="E8" s="177">
        <v>2.3</v>
      </c>
      <c r="F8" s="179">
        <f aca="true" t="shared" si="1" ref="F8:F19">+D8-E8</f>
        <v>7.536065573770492</v>
      </c>
      <c r="G8" s="180">
        <f aca="true" t="shared" si="2" ref="G8:G19">+F8/D8*100</f>
        <v>76.61666666666666</v>
      </c>
      <c r="H8" s="181">
        <f aca="true" t="shared" si="3" ref="H8:H19">+I8*$I$4</f>
        <v>19800</v>
      </c>
      <c r="I8" s="182">
        <v>60</v>
      </c>
      <c r="J8" s="183">
        <f>B8*H8</f>
        <v>237600</v>
      </c>
    </row>
    <row r="9" spans="1:10" ht="13.5">
      <c r="A9" s="66" t="s">
        <v>118</v>
      </c>
      <c r="B9" s="177">
        <v>5</v>
      </c>
      <c r="C9" s="178">
        <v>22</v>
      </c>
      <c r="D9" s="179">
        <f t="shared" si="0"/>
        <v>4.098360655737705</v>
      </c>
      <c r="E9" s="177">
        <v>1.2</v>
      </c>
      <c r="F9" s="179">
        <f t="shared" si="1"/>
        <v>2.8983606557377044</v>
      </c>
      <c r="G9" s="180">
        <f t="shared" si="2"/>
        <v>70.72</v>
      </c>
      <c r="H9" s="181">
        <f t="shared" si="3"/>
        <v>39600</v>
      </c>
      <c r="I9" s="182">
        <v>120</v>
      </c>
      <c r="J9" s="183">
        <f aca="true" t="shared" si="4" ref="J9:J19">B9*H9</f>
        <v>198000</v>
      </c>
    </row>
    <row r="10" spans="1:10" ht="13.5">
      <c r="A10" s="66" t="s">
        <v>119</v>
      </c>
      <c r="B10" s="177">
        <v>60</v>
      </c>
      <c r="C10" s="178">
        <v>8</v>
      </c>
      <c r="D10" s="179">
        <f t="shared" si="0"/>
        <v>55.55555555555556</v>
      </c>
      <c r="E10" s="177">
        <v>10</v>
      </c>
      <c r="F10" s="179">
        <f t="shared" si="1"/>
        <v>45.55555555555556</v>
      </c>
      <c r="G10" s="180">
        <f t="shared" si="2"/>
        <v>82</v>
      </c>
      <c r="H10" s="181">
        <f t="shared" si="3"/>
        <v>2640</v>
      </c>
      <c r="I10" s="184">
        <v>8</v>
      </c>
      <c r="J10" s="183">
        <f t="shared" si="4"/>
        <v>158400</v>
      </c>
    </row>
    <row r="11" spans="1:10" ht="13.5">
      <c r="A11" s="66"/>
      <c r="B11" s="177"/>
      <c r="C11" s="178">
        <v>22</v>
      </c>
      <c r="D11" s="179">
        <f t="shared" si="0"/>
        <v>0</v>
      </c>
      <c r="E11" s="177"/>
      <c r="F11" s="179">
        <f t="shared" si="1"/>
        <v>0</v>
      </c>
      <c r="G11" s="180" t="e">
        <f t="shared" si="2"/>
        <v>#DIV/0!</v>
      </c>
      <c r="H11" s="181">
        <f t="shared" si="3"/>
        <v>0</v>
      </c>
      <c r="I11" s="182"/>
      <c r="J11" s="183">
        <f t="shared" si="4"/>
        <v>0</v>
      </c>
    </row>
    <row r="12" spans="1:10" ht="13.5">
      <c r="A12" s="66"/>
      <c r="B12" s="177"/>
      <c r="C12" s="178">
        <v>22</v>
      </c>
      <c r="D12" s="179">
        <f t="shared" si="0"/>
        <v>0</v>
      </c>
      <c r="E12" s="177"/>
      <c r="F12" s="179">
        <f t="shared" si="1"/>
        <v>0</v>
      </c>
      <c r="G12" s="180" t="e">
        <f t="shared" si="2"/>
        <v>#DIV/0!</v>
      </c>
      <c r="H12" s="181">
        <f t="shared" si="3"/>
        <v>0</v>
      </c>
      <c r="I12" s="182"/>
      <c r="J12" s="183">
        <f t="shared" si="4"/>
        <v>0</v>
      </c>
    </row>
    <row r="13" spans="1:10" ht="13.5">
      <c r="A13" s="66"/>
      <c r="B13" s="177"/>
      <c r="C13" s="178">
        <v>22</v>
      </c>
      <c r="D13" s="179">
        <f t="shared" si="0"/>
        <v>0</v>
      </c>
      <c r="E13" s="177"/>
      <c r="F13" s="179">
        <f t="shared" si="1"/>
        <v>0</v>
      </c>
      <c r="G13" s="180" t="e">
        <f t="shared" si="2"/>
        <v>#DIV/0!</v>
      </c>
      <c r="H13" s="181">
        <f t="shared" si="3"/>
        <v>0</v>
      </c>
      <c r="I13" s="182"/>
      <c r="J13" s="183">
        <f t="shared" si="4"/>
        <v>0</v>
      </c>
    </row>
    <row r="14" spans="1:10" ht="13.5">
      <c r="A14" s="66"/>
      <c r="B14" s="177"/>
      <c r="C14" s="178">
        <v>22</v>
      </c>
      <c r="D14" s="179">
        <f t="shared" si="0"/>
        <v>0</v>
      </c>
      <c r="E14" s="177"/>
      <c r="F14" s="179">
        <f t="shared" si="1"/>
        <v>0</v>
      </c>
      <c r="G14" s="180" t="e">
        <f t="shared" si="2"/>
        <v>#DIV/0!</v>
      </c>
      <c r="H14" s="181">
        <f t="shared" si="3"/>
        <v>0</v>
      </c>
      <c r="I14" s="184"/>
      <c r="J14" s="183">
        <f t="shared" si="4"/>
        <v>0</v>
      </c>
    </row>
    <row r="15" spans="1:10" ht="13.5">
      <c r="A15" s="66"/>
      <c r="B15" s="177"/>
      <c r="C15" s="178">
        <v>22</v>
      </c>
      <c r="D15" s="179">
        <f t="shared" si="0"/>
        <v>0</v>
      </c>
      <c r="E15" s="177"/>
      <c r="F15" s="179">
        <f t="shared" si="1"/>
        <v>0</v>
      </c>
      <c r="G15" s="180" t="e">
        <f t="shared" si="2"/>
        <v>#DIV/0!</v>
      </c>
      <c r="H15" s="181">
        <f t="shared" si="3"/>
        <v>0</v>
      </c>
      <c r="I15" s="182"/>
      <c r="J15" s="183">
        <f t="shared" si="4"/>
        <v>0</v>
      </c>
    </row>
    <row r="16" spans="1:10" ht="13.5">
      <c r="A16" s="66"/>
      <c r="B16" s="177"/>
      <c r="C16" s="178">
        <v>22</v>
      </c>
      <c r="D16" s="179">
        <f t="shared" si="0"/>
        <v>0</v>
      </c>
      <c r="E16" s="177"/>
      <c r="F16" s="179">
        <f t="shared" si="1"/>
        <v>0</v>
      </c>
      <c r="G16" s="180" t="e">
        <f t="shared" si="2"/>
        <v>#DIV/0!</v>
      </c>
      <c r="H16" s="181">
        <f t="shared" si="3"/>
        <v>0</v>
      </c>
      <c r="I16" s="185"/>
      <c r="J16" s="183">
        <f t="shared" si="4"/>
        <v>0</v>
      </c>
    </row>
    <row r="17" spans="1:10" ht="13.5">
      <c r="A17" s="66"/>
      <c r="B17" s="177"/>
      <c r="C17" s="178">
        <v>22</v>
      </c>
      <c r="D17" s="179">
        <f>+B17*100/(100+C17)</f>
        <v>0</v>
      </c>
      <c r="E17" s="177"/>
      <c r="F17" s="179">
        <f t="shared" si="1"/>
        <v>0</v>
      </c>
      <c r="G17" s="180" t="e">
        <f>+F17/D17*100</f>
        <v>#DIV/0!</v>
      </c>
      <c r="H17" s="181">
        <f t="shared" si="3"/>
        <v>0</v>
      </c>
      <c r="I17" s="185"/>
      <c r="J17" s="183">
        <f t="shared" si="4"/>
        <v>0</v>
      </c>
    </row>
    <row r="18" spans="1:10" ht="13.5">
      <c r="A18" s="66"/>
      <c r="B18" s="177"/>
      <c r="C18" s="178">
        <v>22</v>
      </c>
      <c r="D18" s="179">
        <f t="shared" si="0"/>
        <v>0</v>
      </c>
      <c r="E18" s="177"/>
      <c r="F18" s="179">
        <f t="shared" si="1"/>
        <v>0</v>
      </c>
      <c r="G18" s="180" t="e">
        <f>+F18/D18*100</f>
        <v>#DIV/0!</v>
      </c>
      <c r="H18" s="181">
        <f t="shared" si="3"/>
        <v>0</v>
      </c>
      <c r="I18" s="184"/>
      <c r="J18" s="183">
        <f t="shared" si="4"/>
        <v>0</v>
      </c>
    </row>
    <row r="19" spans="1:10" ht="13.5">
      <c r="A19" s="67"/>
      <c r="B19" s="186"/>
      <c r="C19" s="187">
        <v>22</v>
      </c>
      <c r="D19" s="188">
        <f t="shared" si="0"/>
        <v>0</v>
      </c>
      <c r="E19" s="186"/>
      <c r="F19" s="188">
        <f t="shared" si="1"/>
        <v>0</v>
      </c>
      <c r="G19" s="189" t="e">
        <f t="shared" si="2"/>
        <v>#DIV/0!</v>
      </c>
      <c r="H19" s="190">
        <f t="shared" si="3"/>
        <v>0</v>
      </c>
      <c r="I19" s="191"/>
      <c r="J19" s="192">
        <f t="shared" si="4"/>
        <v>0</v>
      </c>
    </row>
    <row r="20" spans="1:10" ht="14.25" thickBot="1">
      <c r="A20" s="193" t="s">
        <v>47</v>
      </c>
      <c r="B20" s="194">
        <f>AVERAGE(B8:B19)</f>
        <v>25.666666666666668</v>
      </c>
      <c r="C20" s="195"/>
      <c r="D20" s="196">
        <f>AVERAGE(D8:D19)</f>
        <v>5.790831815421979</v>
      </c>
      <c r="E20" s="195"/>
      <c r="F20" s="195"/>
      <c r="G20" s="194" t="e">
        <f>AVERAGE(G8:G19)</f>
        <v>#DIV/0!</v>
      </c>
      <c r="H20" s="197">
        <f>SUM(H8:H19)</f>
        <v>62040</v>
      </c>
      <c r="I20" s="197">
        <f>SUM(I8:I19)</f>
        <v>188</v>
      </c>
      <c r="J20" s="198">
        <f>SUM(J8:J19)</f>
        <v>594000</v>
      </c>
    </row>
    <row r="21" spans="1:10" ht="12.75">
      <c r="A21" s="68"/>
      <c r="B21" s="69"/>
      <c r="C21" s="69"/>
      <c r="D21" s="70"/>
      <c r="E21" s="70"/>
      <c r="F21" s="70"/>
      <c r="G21" s="70"/>
      <c r="H21" s="70"/>
      <c r="I21" s="58"/>
      <c r="J21" s="63"/>
    </row>
    <row r="22" spans="1:10" ht="12.75">
      <c r="A22" s="68"/>
      <c r="B22" s="69"/>
      <c r="C22" s="69"/>
      <c r="D22" s="70"/>
      <c r="E22" s="70"/>
      <c r="F22" s="70"/>
      <c r="G22" s="70"/>
      <c r="H22" s="70"/>
      <c r="I22" s="58"/>
      <c r="J22" s="63"/>
    </row>
    <row r="23" spans="1:10" ht="20.25">
      <c r="A23" s="54" t="s">
        <v>48</v>
      </c>
      <c r="B23" s="55"/>
      <c r="D23" s="71" t="s">
        <v>49</v>
      </c>
      <c r="E23" s="72"/>
      <c r="F23" s="72"/>
      <c r="G23" s="73"/>
      <c r="H23" s="73"/>
      <c r="I23" s="58"/>
      <c r="J23" s="63"/>
    </row>
    <row r="24" spans="4:10" ht="12.75">
      <c r="D24" s="63"/>
      <c r="E24" s="58"/>
      <c r="F24" s="58"/>
      <c r="G24" s="58"/>
      <c r="H24" s="73"/>
      <c r="I24" s="58"/>
      <c r="J24" s="63"/>
    </row>
    <row r="25" spans="1:10" ht="12.75">
      <c r="A25" s="55"/>
      <c r="B25" s="55"/>
      <c r="C25" s="55"/>
      <c r="D25" s="74" t="s">
        <v>29</v>
      </c>
      <c r="E25" s="74" t="s">
        <v>6</v>
      </c>
      <c r="F25" s="75"/>
      <c r="G25" s="75"/>
      <c r="H25" s="75"/>
      <c r="I25" s="58"/>
      <c r="J25" s="63"/>
    </row>
    <row r="26" spans="1:10" ht="12.75">
      <c r="A26" s="76" t="s">
        <v>18</v>
      </c>
      <c r="B26" s="55"/>
      <c r="C26" s="77"/>
      <c r="D26" s="77">
        <f>J20</f>
        <v>594000</v>
      </c>
      <c r="E26" s="78">
        <f>+E28+E27</f>
        <v>117.9236276849642</v>
      </c>
      <c r="F26" s="55" t="s">
        <v>6</v>
      </c>
      <c r="G26" s="75"/>
      <c r="H26" s="55"/>
      <c r="I26" s="58"/>
      <c r="J26" s="63"/>
    </row>
    <row r="27" spans="1:10" ht="19.5">
      <c r="A27" s="79" t="s">
        <v>50</v>
      </c>
      <c r="B27" s="79"/>
      <c r="C27" s="80"/>
      <c r="D27" s="80">
        <f>+D26-D28</f>
        <v>90284.15300546447</v>
      </c>
      <c r="E27" s="81">
        <f>+D27*E28/D28</f>
        <v>17.9236276849642</v>
      </c>
      <c r="F27" s="55" t="s">
        <v>6</v>
      </c>
      <c r="G27" s="82" t="s">
        <v>51</v>
      </c>
      <c r="H27" s="68"/>
      <c r="I27" s="58"/>
      <c r="J27" s="63"/>
    </row>
    <row r="28" spans="1:10" ht="12.75">
      <c r="A28" s="76" t="s">
        <v>5</v>
      </c>
      <c r="B28" s="55"/>
      <c r="C28" s="77"/>
      <c r="D28" s="77">
        <f>+D8*H8+D9*H9+D10*H10+D11*H11+D12*H12+D13*H13+D14*H14+D15*H15+D16*H16+D17*H17+D18*H18+D19*H19</f>
        <v>503715.84699453553</v>
      </c>
      <c r="E28" s="83">
        <v>100</v>
      </c>
      <c r="F28" s="55" t="s">
        <v>6</v>
      </c>
      <c r="G28" s="55"/>
      <c r="H28" s="55"/>
      <c r="I28" s="58"/>
      <c r="J28" s="63"/>
    </row>
    <row r="29" spans="1:10" ht="12.75">
      <c r="A29" s="79" t="s">
        <v>52</v>
      </c>
      <c r="B29" s="79"/>
      <c r="C29" s="80"/>
      <c r="D29" s="80">
        <f>+E8*H8+E9*H9+E10*H10+E11*H11+E12*H12+E13*H13+E14*H14+E15*H15+E16*H16+E17*H17+E18*H18+E19*H19</f>
        <v>119460</v>
      </c>
      <c r="E29" s="84"/>
      <c r="F29" s="55"/>
      <c r="G29" s="85" t="s">
        <v>53</v>
      </c>
      <c r="H29" s="55" t="s">
        <v>54</v>
      </c>
      <c r="I29" s="58"/>
      <c r="J29" s="63"/>
    </row>
    <row r="30" spans="1:10" ht="12.75">
      <c r="A30" s="76" t="s">
        <v>8</v>
      </c>
      <c r="B30" s="55"/>
      <c r="C30" s="77"/>
      <c r="D30" s="77">
        <f>+D28-D29</f>
        <v>384255.84699453553</v>
      </c>
      <c r="E30" s="78">
        <f>+D30*E28/D28</f>
        <v>76.28424821002388</v>
      </c>
      <c r="F30" s="55" t="s">
        <v>6</v>
      </c>
      <c r="G30" s="86">
        <v>5</v>
      </c>
      <c r="H30" s="86">
        <v>2</v>
      </c>
      <c r="I30" s="58"/>
      <c r="J30" s="63"/>
    </row>
    <row r="31" spans="1:10" ht="12.75">
      <c r="A31" s="79" t="s">
        <v>55</v>
      </c>
      <c r="B31" s="79"/>
      <c r="C31" s="80"/>
      <c r="D31" s="80">
        <f>((G30*G33*G36)*(100+G39)/100)+((H30*H33*H36)*(100+H39)/100)</f>
        <v>170880</v>
      </c>
      <c r="E31" s="81"/>
      <c r="F31" s="55"/>
      <c r="G31" s="58"/>
      <c r="H31" s="58"/>
      <c r="I31" s="58"/>
      <c r="J31" s="63"/>
    </row>
    <row r="32" spans="1:10" ht="12.75">
      <c r="A32" s="76" t="s">
        <v>10</v>
      </c>
      <c r="B32" s="55"/>
      <c r="C32" s="77"/>
      <c r="D32" s="77">
        <f>+D30-D31</f>
        <v>213375.84699453553</v>
      </c>
      <c r="E32" s="78">
        <f>+D32*E28/D28</f>
        <v>42.36036016489478</v>
      </c>
      <c r="F32" s="55" t="s">
        <v>6</v>
      </c>
      <c r="G32" s="55" t="s">
        <v>56</v>
      </c>
      <c r="H32" s="55"/>
      <c r="I32" s="58"/>
      <c r="J32" s="63"/>
    </row>
    <row r="33" spans="1:10" ht="12.75">
      <c r="A33" s="55" t="s">
        <v>57</v>
      </c>
      <c r="B33" s="55"/>
      <c r="C33" s="77"/>
      <c r="D33" s="77">
        <f>SUM(C34:C46)</f>
        <v>123100</v>
      </c>
      <c r="E33" s="87">
        <f>D33/D28</f>
        <v>0.2443838142764157</v>
      </c>
      <c r="F33" s="55"/>
      <c r="G33" s="86">
        <v>1500</v>
      </c>
      <c r="H33" s="86">
        <v>1400</v>
      </c>
      <c r="I33" s="58"/>
      <c r="J33" s="63"/>
    </row>
    <row r="34" spans="1:10" ht="12.75">
      <c r="A34" s="58"/>
      <c r="B34" s="88" t="s">
        <v>58</v>
      </c>
      <c r="C34" s="89">
        <v>38000</v>
      </c>
      <c r="D34" s="77"/>
      <c r="E34" s="87">
        <f>C34/D$28</f>
        <v>0.07543935777825993</v>
      </c>
      <c r="F34" s="55"/>
      <c r="G34" s="58"/>
      <c r="H34" s="58"/>
      <c r="I34" s="58"/>
      <c r="J34" s="63"/>
    </row>
    <row r="35" spans="1:10" ht="12.75">
      <c r="A35" s="58"/>
      <c r="B35" s="88" t="s">
        <v>59</v>
      </c>
      <c r="C35" s="90">
        <v>5000</v>
      </c>
      <c r="D35" s="77"/>
      <c r="E35" s="87">
        <f>C35/D$28</f>
        <v>0.009926231286613149</v>
      </c>
      <c r="F35" s="55"/>
      <c r="G35" s="55" t="s">
        <v>60</v>
      </c>
      <c r="H35" s="55"/>
      <c r="I35" s="58"/>
      <c r="J35" s="63"/>
    </row>
    <row r="36" spans="1:10" ht="12.75">
      <c r="A36" s="58"/>
      <c r="B36" s="91" t="s">
        <v>61</v>
      </c>
      <c r="C36" s="90">
        <v>7800</v>
      </c>
      <c r="D36" s="77"/>
      <c r="E36" s="87">
        <f aca="true" t="shared" si="5" ref="E36:E46">C36/D$28</f>
        <v>0.01548492080711651</v>
      </c>
      <c r="F36" s="55"/>
      <c r="G36" s="86">
        <v>12</v>
      </c>
      <c r="H36" s="86">
        <v>6</v>
      </c>
      <c r="I36" s="58"/>
      <c r="J36" s="63"/>
    </row>
    <row r="37" spans="1:10" ht="12.75">
      <c r="A37" s="58"/>
      <c r="B37" s="91" t="s">
        <v>62</v>
      </c>
      <c r="C37" s="90">
        <v>22500</v>
      </c>
      <c r="D37" s="77"/>
      <c r="E37" s="87">
        <f t="shared" si="5"/>
        <v>0.04466804078975917</v>
      </c>
      <c r="F37" s="55"/>
      <c r="G37" s="58"/>
      <c r="H37" s="58"/>
      <c r="I37" s="58"/>
      <c r="J37" s="63"/>
    </row>
    <row r="38" spans="1:10" ht="12.75">
      <c r="A38" s="58"/>
      <c r="B38" s="91" t="s">
        <v>63</v>
      </c>
      <c r="C38" s="90">
        <v>19800</v>
      </c>
      <c r="D38" s="77"/>
      <c r="E38" s="87">
        <f t="shared" si="5"/>
        <v>0.03930787589498807</v>
      </c>
      <c r="F38" s="55"/>
      <c r="G38" s="55" t="s">
        <v>64</v>
      </c>
      <c r="H38" s="55"/>
      <c r="I38" s="58"/>
      <c r="J38" s="63"/>
    </row>
    <row r="39" spans="1:10" ht="12.75">
      <c r="A39" s="58"/>
      <c r="B39" s="88" t="s">
        <v>65</v>
      </c>
      <c r="C39" s="90">
        <v>30000</v>
      </c>
      <c r="D39" s="77"/>
      <c r="E39" s="87">
        <f t="shared" si="5"/>
        <v>0.05955738771967889</v>
      </c>
      <c r="F39" s="55"/>
      <c r="G39" s="86">
        <v>60</v>
      </c>
      <c r="H39" s="86">
        <v>60</v>
      </c>
      <c r="I39" s="58"/>
      <c r="J39" s="63"/>
    </row>
    <row r="40" spans="1:10" ht="12.75">
      <c r="A40" s="58"/>
      <c r="B40" s="88"/>
      <c r="C40" s="90"/>
      <c r="D40" s="77"/>
      <c r="E40" s="87">
        <f t="shared" si="5"/>
        <v>0</v>
      </c>
      <c r="F40" s="55"/>
      <c r="G40" s="92"/>
      <c r="H40" s="92"/>
      <c r="I40" s="58"/>
      <c r="J40" s="63"/>
    </row>
    <row r="41" spans="1:10" ht="12.75">
      <c r="A41" s="58"/>
      <c r="B41" s="88"/>
      <c r="C41" s="90"/>
      <c r="D41" s="77"/>
      <c r="E41" s="87">
        <f t="shared" si="5"/>
        <v>0</v>
      </c>
      <c r="F41" s="55"/>
      <c r="G41" s="92"/>
      <c r="H41" s="92"/>
      <c r="I41" s="58"/>
      <c r="J41" s="63"/>
    </row>
    <row r="42" spans="1:10" ht="12.75">
      <c r="A42" s="58"/>
      <c r="B42" s="88"/>
      <c r="C42" s="90"/>
      <c r="D42" s="77"/>
      <c r="E42" s="87">
        <f t="shared" si="5"/>
        <v>0</v>
      </c>
      <c r="F42" s="55"/>
      <c r="G42" s="92"/>
      <c r="H42" s="92"/>
      <c r="I42" s="58"/>
      <c r="J42" s="63"/>
    </row>
    <row r="43" spans="1:10" ht="12.75">
      <c r="A43" s="58"/>
      <c r="B43" s="88"/>
      <c r="C43" s="90"/>
      <c r="D43" s="77"/>
      <c r="E43" s="87">
        <f t="shared" si="5"/>
        <v>0</v>
      </c>
      <c r="F43" s="55"/>
      <c r="G43" s="93"/>
      <c r="H43" s="76"/>
      <c r="I43" s="58"/>
      <c r="J43" s="63"/>
    </row>
    <row r="44" spans="1:10" ht="12.75">
      <c r="A44" s="58"/>
      <c r="B44" s="88"/>
      <c r="C44" s="90"/>
      <c r="D44" s="77"/>
      <c r="E44" s="87">
        <f t="shared" si="5"/>
        <v>0</v>
      </c>
      <c r="F44" s="55"/>
      <c r="G44" s="55"/>
      <c r="H44" s="55"/>
      <c r="I44" s="58"/>
      <c r="J44" s="63"/>
    </row>
    <row r="45" spans="1:10" ht="12.75">
      <c r="A45" s="94"/>
      <c r="B45" s="95"/>
      <c r="C45" s="96"/>
      <c r="D45" s="97"/>
      <c r="E45" s="87">
        <f t="shared" si="5"/>
        <v>0</v>
      </c>
      <c r="G45" s="55"/>
      <c r="H45" s="55"/>
      <c r="I45" s="58"/>
      <c r="J45" s="63"/>
    </row>
    <row r="46" spans="1:10" ht="12.75">
      <c r="A46" s="98"/>
      <c r="B46" s="99"/>
      <c r="C46" s="100"/>
      <c r="D46" s="80"/>
      <c r="E46" s="101">
        <f t="shared" si="5"/>
        <v>0</v>
      </c>
      <c r="F46" s="55"/>
      <c r="G46" s="55"/>
      <c r="H46" s="55"/>
      <c r="I46" s="58"/>
      <c r="J46" s="63"/>
    </row>
    <row r="47" spans="1:10" ht="12.75">
      <c r="A47" s="76" t="s">
        <v>34</v>
      </c>
      <c r="B47" s="55"/>
      <c r="C47" s="77"/>
      <c r="D47" s="77">
        <f>+D32-D33</f>
        <v>90275.84699453553</v>
      </c>
      <c r="E47" s="78">
        <f>+D47*E28/D28</f>
        <v>17.921978737253202</v>
      </c>
      <c r="F47" s="55" t="s">
        <v>6</v>
      </c>
      <c r="G47" s="55"/>
      <c r="H47" s="55"/>
      <c r="I47" s="58"/>
      <c r="J47" s="63"/>
    </row>
    <row r="48" spans="1:10" ht="12.75">
      <c r="A48" s="58" t="s">
        <v>66</v>
      </c>
      <c r="B48" s="58"/>
      <c r="C48" s="102"/>
      <c r="D48" s="89"/>
      <c r="E48" s="83"/>
      <c r="F48" s="55"/>
      <c r="G48" s="55"/>
      <c r="H48" s="55"/>
      <c r="I48" s="58"/>
      <c r="J48" s="63"/>
    </row>
    <row r="49" spans="1:10" ht="12.75">
      <c r="A49" s="98" t="s">
        <v>67</v>
      </c>
      <c r="B49" s="98"/>
      <c r="C49" s="103"/>
      <c r="D49" s="100"/>
      <c r="E49" s="84"/>
      <c r="F49" s="55"/>
      <c r="G49" s="55"/>
      <c r="H49" s="55"/>
      <c r="I49" s="58"/>
      <c r="J49" s="63"/>
    </row>
    <row r="50" spans="1:10" ht="12.75">
      <c r="A50" s="76" t="s">
        <v>68</v>
      </c>
      <c r="B50" s="55"/>
      <c r="C50" s="77"/>
      <c r="D50" s="77">
        <f>+D47-D48-D49</f>
        <v>90275.84699453553</v>
      </c>
      <c r="E50" s="78">
        <f>+D50*E28/D28</f>
        <v>17.921978737253202</v>
      </c>
      <c r="F50" s="55"/>
      <c r="G50" s="55"/>
      <c r="H50" s="55"/>
      <c r="I50" s="58"/>
      <c r="J50" s="63"/>
    </row>
    <row r="51" spans="1:10" ht="12.75">
      <c r="A51" s="58"/>
      <c r="B51" s="58"/>
      <c r="C51" s="58"/>
      <c r="D51" s="58"/>
      <c r="E51" s="58"/>
      <c r="F51" s="58"/>
      <c r="G51" s="58"/>
      <c r="H51" s="58"/>
      <c r="I51" s="58"/>
      <c r="J51" s="63"/>
    </row>
    <row r="52" spans="1:10" ht="12.75">
      <c r="A52" s="58"/>
      <c r="B52" s="73"/>
      <c r="C52" s="58"/>
      <c r="D52" s="73"/>
      <c r="E52" s="58"/>
      <c r="F52" s="58"/>
      <c r="G52" s="58"/>
      <c r="H52" s="58"/>
      <c r="I52" s="58"/>
      <c r="J52" s="63"/>
    </row>
    <row r="53" spans="1:10" ht="12.75">
      <c r="A53" s="58"/>
      <c r="B53" s="58"/>
      <c r="C53" s="73"/>
      <c r="D53" s="58"/>
      <c r="E53" s="58"/>
      <c r="F53" s="58"/>
      <c r="G53" s="58"/>
      <c r="H53" s="58"/>
      <c r="I53" s="58"/>
      <c r="J53" s="63"/>
    </row>
    <row r="54" spans="1:10" ht="12.75">
      <c r="A54" s="58"/>
      <c r="B54" s="58"/>
      <c r="C54" s="58"/>
      <c r="D54" s="58"/>
      <c r="E54" s="58"/>
      <c r="F54" s="58"/>
      <c r="G54" s="58"/>
      <c r="H54" s="58"/>
      <c r="I54" s="58"/>
      <c r="J54" s="63"/>
    </row>
    <row r="55" spans="1:10" ht="12.75">
      <c r="A55" s="58"/>
      <c r="B55" s="58"/>
      <c r="C55" s="104"/>
      <c r="D55" s="58"/>
      <c r="E55" s="58"/>
      <c r="F55" s="58"/>
      <c r="G55" s="58"/>
      <c r="H55" s="58"/>
      <c r="I55" s="58"/>
      <c r="J55" s="63"/>
    </row>
    <row r="56" spans="1:10" ht="12.75">
      <c r="A56" s="58"/>
      <c r="B56" s="58"/>
      <c r="C56" s="58"/>
      <c r="D56" s="58"/>
      <c r="E56" s="58"/>
      <c r="F56" s="58"/>
      <c r="G56" s="58"/>
      <c r="H56" s="58"/>
      <c r="I56" s="58"/>
      <c r="J56" s="63"/>
    </row>
    <row r="57" spans="1:10" ht="12.75">
      <c r="A57" s="63"/>
      <c r="B57" s="63"/>
      <c r="C57" s="63"/>
      <c r="D57" s="63"/>
      <c r="E57" s="63"/>
      <c r="F57" s="63"/>
      <c r="G57" s="63"/>
      <c r="H57" s="63"/>
      <c r="I57" s="58"/>
      <c r="J57" s="63"/>
    </row>
    <row r="58" spans="1:10" ht="12.75">
      <c r="A58" s="63"/>
      <c r="B58" s="63"/>
      <c r="C58" s="63"/>
      <c r="D58" s="63"/>
      <c r="E58" s="63"/>
      <c r="F58" s="63"/>
      <c r="G58" s="63"/>
      <c r="H58" s="63"/>
      <c r="I58" s="58"/>
      <c r="J58" s="63"/>
    </row>
    <row r="59" spans="1:10" ht="12.75">
      <c r="A59" s="63"/>
      <c r="B59" s="63"/>
      <c r="C59" s="63"/>
      <c r="D59" s="63"/>
      <c r="E59" s="63"/>
      <c r="F59" s="63"/>
      <c r="G59" s="63"/>
      <c r="H59" s="63"/>
      <c r="I59" s="58"/>
      <c r="J59" s="63"/>
    </row>
  </sheetData>
  <sheetProtection sheet="1" objects="1" scenarios="1"/>
  <mergeCells count="1">
    <mergeCell ref="B3:E3"/>
  </mergeCells>
  <conditionalFormatting sqref="G8:G20 B20">
    <cfRule type="cellIs" priority="14" dxfId="15" operator="between" stopIfTrue="1">
      <formula>1</formula>
      <formula>50</formula>
    </cfRule>
    <cfRule type="cellIs" priority="15" dxfId="16" operator="between" stopIfTrue="1">
      <formula>50.0001</formula>
      <formula>101</formula>
    </cfRule>
  </conditionalFormatting>
  <conditionalFormatting sqref="E26:E29 E31 E48:E49">
    <cfRule type="cellIs" priority="13" dxfId="17" operator="between" stopIfTrue="1">
      <formula>1</formula>
      <formula>150</formula>
    </cfRule>
  </conditionalFormatting>
  <conditionalFormatting sqref="E30">
    <cfRule type="cellIs" priority="11" dxfId="18" operator="between" stopIfTrue="1">
      <formula>1</formula>
      <formula>50</formula>
    </cfRule>
    <cfRule type="cellIs" priority="12" dxfId="19" operator="between" stopIfTrue="1">
      <formula>50.0001</formula>
      <formula>1001</formula>
    </cfRule>
  </conditionalFormatting>
  <conditionalFormatting sqref="E32">
    <cfRule type="cellIs" priority="8" dxfId="20" operator="between" stopIfTrue="1">
      <formula>1</formula>
      <formula>30</formula>
    </cfRule>
    <cfRule type="cellIs" priority="9" dxfId="19" operator="between" stopIfTrue="1">
      <formula>30.0001</formula>
      <formula>1001</formula>
    </cfRule>
    <cfRule type="cellIs" priority="10" dxfId="18" operator="lessThan" stopIfTrue="1">
      <formula>1</formula>
    </cfRule>
  </conditionalFormatting>
  <conditionalFormatting sqref="E47">
    <cfRule type="cellIs" priority="5" dxfId="21" operator="between" stopIfTrue="1">
      <formula>1</formula>
      <formula>15</formula>
    </cfRule>
    <cfRule type="cellIs" priority="6" dxfId="19" operator="between" stopIfTrue="1">
      <formula>15.0001</formula>
      <formula>1001</formula>
    </cfRule>
    <cfRule type="cellIs" priority="7" dxfId="18" operator="lessThan" stopIfTrue="1">
      <formula>1</formula>
    </cfRule>
  </conditionalFormatting>
  <conditionalFormatting sqref="E50">
    <cfRule type="cellIs" priority="2" dxfId="21" operator="between" stopIfTrue="1">
      <formula>1</formula>
      <formula>5</formula>
    </cfRule>
    <cfRule type="cellIs" priority="3" dxfId="19" operator="between" stopIfTrue="1">
      <formula>5.0001</formula>
      <formula>1001</formula>
    </cfRule>
    <cfRule type="cellIs" priority="4" dxfId="18" operator="lessThan" stopIfTrue="1">
      <formula>1</formula>
    </cfRule>
  </conditionalFormatting>
  <conditionalFormatting sqref="E33:E46">
    <cfRule type="cellIs" priority="1" dxfId="17" operator="greaterThan" stopIfTrue="1">
      <formula>0.001</formula>
    </cfRule>
  </conditionalFormatting>
  <printOptions/>
  <pageMargins left="0.33" right="0.45" top="0.71" bottom="0.42" header="0.31" footer="0.3"/>
  <pageSetup horizontalDpi="300" verticalDpi="300" orientation="portrait" paperSize="9" r:id="rId1"/>
  <headerFooter alignWithMargins="0">
    <oddHeader>&amp;C&amp;A</oddHeader>
    <oddFooter>&amp;L&amp;9&amp;F / &amp;A&amp;C&amp;9Copyrigh Kaislander Ky, Kuopio&amp;Rver3 /2005  /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zoomScalePageLayoutView="0" workbookViewId="0" topLeftCell="A10">
      <selection activeCell="B15" sqref="B15"/>
    </sheetView>
  </sheetViews>
  <sheetFormatPr defaultColWidth="9.33203125" defaultRowHeight="12.75"/>
  <cols>
    <col min="1" max="1" width="18.83203125" style="106" customWidth="1"/>
    <col min="2" max="2" width="17" style="106" customWidth="1"/>
    <col min="3" max="3" width="13.16015625" style="106" customWidth="1"/>
    <col min="4" max="4" width="9.33203125" style="106" customWidth="1"/>
    <col min="5" max="5" width="9.5" style="106" customWidth="1"/>
    <col min="6" max="9" width="6.83203125" style="106" customWidth="1"/>
    <col min="10" max="16384" width="9.33203125" style="106" customWidth="1"/>
  </cols>
  <sheetData>
    <row r="1" spans="1:4" ht="27.75">
      <c r="A1" s="105" t="s">
        <v>69</v>
      </c>
      <c r="D1" s="106">
        <f>'[1]Tuotelas'!B3</f>
        <v>0</v>
      </c>
    </row>
    <row r="3" spans="1:9" ht="21.75" customHeight="1">
      <c r="A3" s="107" t="s">
        <v>5</v>
      </c>
      <c r="B3" s="108">
        <f>Tuotelas!D28</f>
        <v>503715.84699453553</v>
      </c>
      <c r="C3" s="109">
        <v>100</v>
      </c>
      <c r="D3" s="110" t="s">
        <v>6</v>
      </c>
      <c r="E3" s="111" t="s">
        <v>70</v>
      </c>
      <c r="F3" s="112" t="s">
        <v>5</v>
      </c>
      <c r="G3" s="112" t="s">
        <v>71</v>
      </c>
      <c r="H3" s="112" t="s">
        <v>72</v>
      </c>
      <c r="I3" s="112" t="s">
        <v>73</v>
      </c>
    </row>
    <row r="4" spans="1:9" ht="21.75" customHeight="1" thickBot="1">
      <c r="A4" s="113" t="s">
        <v>74</v>
      </c>
      <c r="B4" s="114">
        <f>Tuotelas!D29</f>
        <v>119460</v>
      </c>
      <c r="C4" s="115">
        <f>B4*C3/B3</f>
        <v>23.71575178997613</v>
      </c>
      <c r="D4" s="110" t="s">
        <v>6</v>
      </c>
      <c r="E4" s="116">
        <f>F4</f>
        <v>50.37158469945355</v>
      </c>
      <c r="F4" s="117">
        <f>B3/10/1000</f>
        <v>50.37158469945355</v>
      </c>
      <c r="G4" s="117">
        <f aca="true" t="shared" si="0" ref="G4:G13">F4*$C$4/100</f>
        <v>11.946</v>
      </c>
      <c r="H4" s="117">
        <f>($B$8+$B$6)/1000</f>
        <v>293.98</v>
      </c>
      <c r="I4" s="117">
        <f aca="true" t="shared" si="1" ref="I4:I13">H4+G4</f>
        <v>305.92600000000004</v>
      </c>
    </row>
    <row r="5" spans="1:9" ht="21.75" customHeight="1">
      <c r="A5" s="107" t="s">
        <v>8</v>
      </c>
      <c r="B5" s="108">
        <f>B3-B4</f>
        <v>384255.84699453553</v>
      </c>
      <c r="C5" s="118">
        <f>C3-C4</f>
        <v>76.28424821002386</v>
      </c>
      <c r="D5" s="110" t="s">
        <v>6</v>
      </c>
      <c r="E5" s="116">
        <f aca="true" t="shared" si="2" ref="E5:E13">F5</f>
        <v>100.7431693989071</v>
      </c>
      <c r="F5" s="117">
        <f aca="true" t="shared" si="3" ref="F5:F13">F4+$F$4</f>
        <v>100.7431693989071</v>
      </c>
      <c r="G5" s="117">
        <f t="shared" si="0"/>
        <v>23.892</v>
      </c>
      <c r="H5" s="117">
        <f aca="true" t="shared" si="4" ref="H5:H13">($B$8+$B$6)/1000</f>
        <v>293.98</v>
      </c>
      <c r="I5" s="117">
        <f t="shared" si="1"/>
        <v>317.872</v>
      </c>
    </row>
    <row r="6" spans="1:9" ht="21.75" customHeight="1" thickBot="1">
      <c r="A6" s="113" t="s">
        <v>75</v>
      </c>
      <c r="B6" s="114">
        <f>Tuotelas!D31</f>
        <v>170880</v>
      </c>
      <c r="C6" s="115">
        <f>C5-C7</f>
        <v>33.92388804512908</v>
      </c>
      <c r="D6" s="110" t="s">
        <v>6</v>
      </c>
      <c r="E6" s="116">
        <f t="shared" si="2"/>
        <v>151.11475409836066</v>
      </c>
      <c r="F6" s="117">
        <f t="shared" si="3"/>
        <v>151.11475409836066</v>
      </c>
      <c r="G6" s="117">
        <f t="shared" si="0"/>
        <v>35.837999999999994</v>
      </c>
      <c r="H6" s="117">
        <f t="shared" si="4"/>
        <v>293.98</v>
      </c>
      <c r="I6" s="117">
        <f t="shared" si="1"/>
        <v>329.818</v>
      </c>
    </row>
    <row r="7" spans="1:9" ht="21.75" customHeight="1">
      <c r="A7" s="107" t="s">
        <v>10</v>
      </c>
      <c r="B7" s="108">
        <f>B5-B6</f>
        <v>213375.84699453553</v>
      </c>
      <c r="C7" s="118">
        <f>B7*C3/B3</f>
        <v>42.36036016489478</v>
      </c>
      <c r="D7" s="110" t="s">
        <v>6</v>
      </c>
      <c r="E7" s="116">
        <f t="shared" si="2"/>
        <v>201.4863387978142</v>
      </c>
      <c r="F7" s="117">
        <f t="shared" si="3"/>
        <v>201.4863387978142</v>
      </c>
      <c r="G7" s="117">
        <f t="shared" si="0"/>
        <v>47.784</v>
      </c>
      <c r="H7" s="117">
        <f t="shared" si="4"/>
        <v>293.98</v>
      </c>
      <c r="I7" s="117">
        <f t="shared" si="1"/>
        <v>341.764</v>
      </c>
    </row>
    <row r="8" spans="1:9" ht="21.75" customHeight="1" thickBot="1">
      <c r="A8" s="113" t="s">
        <v>76</v>
      </c>
      <c r="B8" s="114">
        <f>Tuotelas!D33</f>
        <v>123100</v>
      </c>
      <c r="C8" s="115">
        <f>C7-C9</f>
        <v>24.438381427641577</v>
      </c>
      <c r="D8" s="110" t="s">
        <v>6</v>
      </c>
      <c r="E8" s="116">
        <f t="shared" si="2"/>
        <v>251.85792349726773</v>
      </c>
      <c r="F8" s="117">
        <f t="shared" si="3"/>
        <v>251.85792349726773</v>
      </c>
      <c r="G8" s="117">
        <f t="shared" si="0"/>
        <v>59.72999999999999</v>
      </c>
      <c r="H8" s="117">
        <f t="shared" si="4"/>
        <v>293.98</v>
      </c>
      <c r="I8" s="117">
        <f t="shared" si="1"/>
        <v>353.71000000000004</v>
      </c>
    </row>
    <row r="9" spans="1:9" ht="21.75" customHeight="1">
      <c r="A9" s="107" t="s">
        <v>34</v>
      </c>
      <c r="B9" s="108">
        <f>B7-B8</f>
        <v>90275.84699453553</v>
      </c>
      <c r="C9" s="118">
        <f>B9*C3/B3</f>
        <v>17.921978737253202</v>
      </c>
      <c r="D9" s="110" t="s">
        <v>6</v>
      </c>
      <c r="E9" s="116">
        <f t="shared" si="2"/>
        <v>302.22950819672127</v>
      </c>
      <c r="F9" s="117">
        <f t="shared" si="3"/>
        <v>302.22950819672127</v>
      </c>
      <c r="G9" s="117">
        <f t="shared" si="0"/>
        <v>71.67599999999999</v>
      </c>
      <c r="H9" s="117">
        <f t="shared" si="4"/>
        <v>293.98</v>
      </c>
      <c r="I9" s="117">
        <f t="shared" si="1"/>
        <v>365.656</v>
      </c>
    </row>
    <row r="10" spans="1:9" ht="15.75">
      <c r="A10" s="107"/>
      <c r="B10" s="119"/>
      <c r="C10" s="107"/>
      <c r="D10" s="107"/>
      <c r="E10" s="116">
        <f t="shared" si="2"/>
        <v>352.6010928961748</v>
      </c>
      <c r="F10" s="117">
        <f t="shared" si="3"/>
        <v>352.6010928961748</v>
      </c>
      <c r="G10" s="117">
        <f t="shared" si="0"/>
        <v>83.62199999999997</v>
      </c>
      <c r="H10" s="117">
        <f t="shared" si="4"/>
        <v>293.98</v>
      </c>
      <c r="I10" s="117">
        <f t="shared" si="1"/>
        <v>377.602</v>
      </c>
    </row>
    <row r="11" spans="1:9" ht="21" customHeight="1">
      <c r="A11" s="120" t="s">
        <v>77</v>
      </c>
      <c r="B11" s="121">
        <f>(B8+B6)*C3/C5</f>
        <v>385374.4474096693</v>
      </c>
      <c r="C11" s="122" t="s">
        <v>29</v>
      </c>
      <c r="D11" s="107"/>
      <c r="E11" s="116">
        <f t="shared" si="2"/>
        <v>402.97267759562834</v>
      </c>
      <c r="F11" s="117">
        <f t="shared" si="3"/>
        <v>402.97267759562834</v>
      </c>
      <c r="G11" s="117">
        <f t="shared" si="0"/>
        <v>95.56799999999997</v>
      </c>
      <c r="H11" s="117">
        <f t="shared" si="4"/>
        <v>293.98</v>
      </c>
      <c r="I11" s="117">
        <f t="shared" si="1"/>
        <v>389.548</v>
      </c>
    </row>
    <row r="12" spans="1:9" ht="21" customHeight="1">
      <c r="A12" s="123" t="s">
        <v>78</v>
      </c>
      <c r="B12" s="124">
        <f>B3-B11</f>
        <v>118341.39958486625</v>
      </c>
      <c r="C12" s="125" t="s">
        <v>29</v>
      </c>
      <c r="D12" s="107"/>
      <c r="E12" s="116">
        <f t="shared" si="2"/>
        <v>453.3442622950819</v>
      </c>
      <c r="F12" s="117">
        <f t="shared" si="3"/>
        <v>453.3442622950819</v>
      </c>
      <c r="G12" s="117">
        <f t="shared" si="0"/>
        <v>107.51399999999998</v>
      </c>
      <c r="H12" s="117">
        <f t="shared" si="4"/>
        <v>293.98</v>
      </c>
      <c r="I12" s="117">
        <f t="shared" si="1"/>
        <v>401.494</v>
      </c>
    </row>
    <row r="13" spans="1:9" ht="21" customHeight="1">
      <c r="A13" s="123" t="s">
        <v>79</v>
      </c>
      <c r="B13" s="126">
        <f>B12/B3*100</f>
        <v>23.49368206121775</v>
      </c>
      <c r="C13" s="125" t="s">
        <v>6</v>
      </c>
      <c r="D13" s="107"/>
      <c r="E13" s="116">
        <f t="shared" si="2"/>
        <v>503.7158469945354</v>
      </c>
      <c r="F13" s="117">
        <f t="shared" si="3"/>
        <v>503.7158469945354</v>
      </c>
      <c r="G13" s="117">
        <f t="shared" si="0"/>
        <v>119.45999999999997</v>
      </c>
      <c r="H13" s="117">
        <f t="shared" si="4"/>
        <v>293.98</v>
      </c>
      <c r="I13" s="117">
        <f t="shared" si="1"/>
        <v>413.44</v>
      </c>
    </row>
    <row r="14" spans="1:7" ht="15">
      <c r="A14" s="127"/>
      <c r="B14" s="128"/>
      <c r="C14" s="129"/>
      <c r="F14" s="130"/>
      <c r="G14" s="131"/>
    </row>
    <row r="15" spans="6:7" ht="15">
      <c r="F15" s="130"/>
      <c r="G15" s="131"/>
    </row>
    <row r="16" spans="6:7" ht="15">
      <c r="F16" s="130"/>
      <c r="G16" s="131"/>
    </row>
    <row r="17" spans="6:7" ht="15">
      <c r="F17" s="130"/>
      <c r="G17" s="131"/>
    </row>
    <row r="18" spans="6:7" ht="15">
      <c r="F18" s="130"/>
      <c r="G18" s="131"/>
    </row>
    <row r="19" spans="6:7" ht="15">
      <c r="F19" s="130"/>
      <c r="G19" s="131"/>
    </row>
    <row r="20" spans="6:7" ht="15">
      <c r="F20" s="130"/>
      <c r="G20" s="131"/>
    </row>
  </sheetData>
  <sheetProtection/>
  <printOptions/>
  <pageMargins left="0.41" right="0.41" top="1" bottom="1" header="0.4921259845" footer="0.4921259845"/>
  <pageSetup horizontalDpi="600" verticalDpi="600" orientation="portrait" paperSize="9" r:id="rId2"/>
  <headerFooter alignWithMargins="0">
    <oddFooter>&amp;L&amp;F / &amp;A&amp;R&amp;D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0">
      <selection activeCell="B27" sqref="B27"/>
    </sheetView>
  </sheetViews>
  <sheetFormatPr defaultColWidth="9.33203125" defaultRowHeight="12.75"/>
  <cols>
    <col min="1" max="1" width="31.16015625" style="132" customWidth="1"/>
    <col min="2" max="2" width="23" style="133" customWidth="1"/>
    <col min="3" max="5" width="9.33203125" style="132" customWidth="1"/>
    <col min="6" max="6" width="28.16015625" style="132" customWidth="1"/>
    <col min="7" max="7" width="17" style="132" customWidth="1"/>
    <col min="8" max="8" width="5.66015625" style="132" customWidth="1"/>
    <col min="9" max="9" width="13.5" style="132" customWidth="1"/>
    <col min="10" max="10" width="13" style="132" customWidth="1"/>
    <col min="11" max="16384" width="9.33203125" style="132" customWidth="1"/>
  </cols>
  <sheetData>
    <row r="1" ht="18.75">
      <c r="A1" s="132" t="s">
        <v>80</v>
      </c>
    </row>
    <row r="2" ht="18.75">
      <c r="A2" s="132" t="s">
        <v>81</v>
      </c>
    </row>
    <row r="3" ht="18.75">
      <c r="A3" s="132" t="s">
        <v>82</v>
      </c>
    </row>
    <row r="4" ht="43.5" customHeight="1"/>
    <row r="5" spans="1:6" ht="18.75">
      <c r="A5" s="134" t="s">
        <v>83</v>
      </c>
      <c r="B5" s="135"/>
      <c r="F5" s="136" t="s">
        <v>84</v>
      </c>
    </row>
    <row r="6" spans="1:2" ht="18.75">
      <c r="A6" s="137" t="s">
        <v>85</v>
      </c>
      <c r="B6" s="138"/>
    </row>
    <row r="7" spans="6:10" ht="18.75">
      <c r="F7" s="139" t="s">
        <v>86</v>
      </c>
      <c r="I7" s="140" t="s">
        <v>87</v>
      </c>
      <c r="J7" s="141" t="s">
        <v>88</v>
      </c>
    </row>
    <row r="8" spans="1:10" ht="18.75">
      <c r="A8" s="132" t="s">
        <v>5</v>
      </c>
      <c r="B8" s="133">
        <v>200000</v>
      </c>
      <c r="C8" s="132">
        <v>100</v>
      </c>
      <c r="F8" s="142" t="s">
        <v>89</v>
      </c>
      <c r="G8" s="143">
        <v>45000</v>
      </c>
      <c r="I8" s="144">
        <v>0.25</v>
      </c>
      <c r="J8" s="145">
        <f>G8*I8</f>
        <v>11250</v>
      </c>
    </row>
    <row r="9" spans="1:10" ht="19.5" thickBot="1">
      <c r="A9" s="146" t="s">
        <v>7</v>
      </c>
      <c r="B9" s="147">
        <v>80000</v>
      </c>
      <c r="C9" s="146"/>
      <c r="F9" s="142" t="s">
        <v>90</v>
      </c>
      <c r="G9" s="143">
        <v>110000</v>
      </c>
      <c r="I9" s="144">
        <v>0.04</v>
      </c>
      <c r="J9" s="145">
        <f>G9*I9</f>
        <v>4400</v>
      </c>
    </row>
    <row r="10" spans="1:10" ht="18.75">
      <c r="A10" s="132" t="s">
        <v>8</v>
      </c>
      <c r="B10" s="133">
        <f>B8-B9</f>
        <v>120000</v>
      </c>
      <c r="C10" s="148">
        <f>B10*C8/B8</f>
        <v>60</v>
      </c>
      <c r="G10" s="143"/>
      <c r="I10" s="149"/>
      <c r="J10" s="150"/>
    </row>
    <row r="11" spans="1:10" ht="19.5" thickBot="1">
      <c r="A11" s="146" t="s">
        <v>92</v>
      </c>
      <c r="B11" s="147">
        <v>90000</v>
      </c>
      <c r="C11" s="146"/>
      <c r="F11" s="139" t="s">
        <v>91</v>
      </c>
      <c r="G11" s="143"/>
      <c r="I11" s="151"/>
      <c r="J11" s="199"/>
    </row>
    <row r="12" spans="1:10" ht="18.75">
      <c r="A12" s="132" t="s">
        <v>34</v>
      </c>
      <c r="B12" s="133">
        <f>B10-B11</f>
        <v>30000</v>
      </c>
      <c r="C12" s="148">
        <f>B12*C10/B10</f>
        <v>15</v>
      </c>
      <c r="F12" s="139"/>
      <c r="G12" s="143"/>
      <c r="I12" s="151"/>
      <c r="J12" s="199"/>
    </row>
    <row r="13" spans="1:10" ht="19.5" thickBot="1">
      <c r="A13" s="146" t="s">
        <v>95</v>
      </c>
      <c r="B13" s="147">
        <f>J8+J9</f>
        <v>15650</v>
      </c>
      <c r="C13" s="146"/>
      <c r="F13" s="142" t="s">
        <v>93</v>
      </c>
      <c r="G13" s="143">
        <v>4000</v>
      </c>
      <c r="I13" s="151"/>
      <c r="J13" s="151"/>
    </row>
    <row r="14" spans="1:10" ht="18.75">
      <c r="A14" s="132" t="s">
        <v>97</v>
      </c>
      <c r="B14" s="133">
        <f>B12-B13</f>
        <v>14350</v>
      </c>
      <c r="C14" s="148">
        <f>B14*C12/B12</f>
        <v>7.175</v>
      </c>
      <c r="F14" s="142" t="s">
        <v>94</v>
      </c>
      <c r="G14" s="143">
        <v>6000</v>
      </c>
      <c r="I14" s="151"/>
      <c r="J14" s="151"/>
    </row>
    <row r="15" spans="1:10" ht="18.75">
      <c r="A15" s="132" t="s">
        <v>99</v>
      </c>
      <c r="B15" s="133">
        <f>I24</f>
        <v>8750</v>
      </c>
      <c r="F15" s="139" t="s">
        <v>96</v>
      </c>
      <c r="G15" s="143"/>
      <c r="I15" s="151"/>
      <c r="J15" s="151"/>
    </row>
    <row r="16" spans="1:10" ht="19.5" thickBot="1">
      <c r="A16" s="146" t="s">
        <v>101</v>
      </c>
      <c r="B16" s="147">
        <f>(B14-B15)*0.26</f>
        <v>1456</v>
      </c>
      <c r="C16" s="146"/>
      <c r="F16" s="142" t="s">
        <v>98</v>
      </c>
      <c r="G16" s="143">
        <f>J24</f>
        <v>12500</v>
      </c>
      <c r="I16" s="151"/>
      <c r="J16" s="151"/>
    </row>
    <row r="17" spans="1:10" ht="21">
      <c r="A17" s="132" t="s">
        <v>102</v>
      </c>
      <c r="B17" s="133">
        <f>B14-B15-B16</f>
        <v>4144</v>
      </c>
      <c r="C17" s="157">
        <f>B17*C8/B8</f>
        <v>2.072</v>
      </c>
      <c r="F17" s="152" t="s">
        <v>100</v>
      </c>
      <c r="G17" s="153">
        <f>SUM(G8:G16)</f>
        <v>177500</v>
      </c>
      <c r="I17" s="154"/>
      <c r="J17" s="154"/>
    </row>
    <row r="18" spans="1:10" ht="21">
      <c r="A18" s="142"/>
      <c r="F18" s="155"/>
      <c r="G18" s="156"/>
      <c r="I18" s="154"/>
      <c r="J18" s="154"/>
    </row>
    <row r="19" spans="9:10" ht="18.75">
      <c r="I19" s="154"/>
      <c r="J19" s="154"/>
    </row>
    <row r="20" spans="9:10" ht="18.75">
      <c r="I20" s="154"/>
      <c r="J20" s="154"/>
    </row>
    <row r="21" spans="6:10" ht="18.75">
      <c r="F21" s="136" t="s">
        <v>103</v>
      </c>
      <c r="I21" s="154"/>
      <c r="J21" s="154"/>
    </row>
    <row r="22" spans="9:10" ht="18.75">
      <c r="I22" s="158" t="s">
        <v>104</v>
      </c>
      <c r="J22" s="159" t="s">
        <v>105</v>
      </c>
    </row>
    <row r="23" spans="6:10" ht="18.75">
      <c r="F23" s="132" t="s">
        <v>106</v>
      </c>
      <c r="G23" s="133">
        <v>30000</v>
      </c>
      <c r="I23" s="160"/>
      <c r="J23" s="161" t="s">
        <v>107</v>
      </c>
    </row>
    <row r="24" spans="6:10" ht="18.75">
      <c r="F24" s="132" t="s">
        <v>108</v>
      </c>
      <c r="G24" s="133">
        <v>125000</v>
      </c>
      <c r="I24" s="162">
        <f>G24*0.07</f>
        <v>8750</v>
      </c>
      <c r="J24" s="163">
        <f>G24/10</f>
        <v>12500</v>
      </c>
    </row>
    <row r="25" spans="5:10" ht="18.75">
      <c r="E25" s="166" t="s">
        <v>110</v>
      </c>
      <c r="F25" s="132" t="s">
        <v>109</v>
      </c>
      <c r="G25" s="133">
        <f>B17+B13</f>
        <v>19794</v>
      </c>
      <c r="I25" s="164"/>
      <c r="J25" s="165"/>
    </row>
    <row r="26" ht="18.75">
      <c r="G26" s="133"/>
    </row>
    <row r="27" ht="18.75">
      <c r="G27" s="133"/>
    </row>
    <row r="28" spans="6:7" ht="21">
      <c r="F28" s="152" t="s">
        <v>111</v>
      </c>
      <c r="G28" s="153">
        <f>SUM(G23:G27)</f>
        <v>174794</v>
      </c>
    </row>
    <row r="29" ht="18.75">
      <c r="G29" s="133"/>
    </row>
    <row r="30" spans="6:7" ht="18.75">
      <c r="F30" s="132" t="s">
        <v>112</v>
      </c>
      <c r="G30" s="133">
        <f>G28-G17</f>
        <v>-2706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kk45463</dc:creator>
  <cp:keywords/>
  <dc:description/>
  <cp:lastModifiedBy>kk45463</cp:lastModifiedBy>
  <dcterms:created xsi:type="dcterms:W3CDTF">2009-12-08T10:25:18Z</dcterms:created>
  <dcterms:modified xsi:type="dcterms:W3CDTF">2009-12-09T07:18:15Z</dcterms:modified>
  <cp:category/>
  <cp:version/>
  <cp:contentType/>
  <cp:contentStatus/>
</cp:coreProperties>
</file>